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04461136f082930/Ascariscer/Material Tecnico/Herramientas/"/>
    </mc:Choice>
  </mc:AlternateContent>
  <xr:revisionPtr revIDLastSave="0" documentId="8_{22264F92-383E-4806-B443-AE6EBD91DDEF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Calculador" sheetId="1" r:id="rId1"/>
    <sheet name="Sensibilidad" sheetId="3" r:id="rId2"/>
    <sheet name="Parámetros" sheetId="4" r:id="rId3"/>
    <sheet name="Notas" sheetId="5" r:id="rId4"/>
  </sheets>
  <definedNames>
    <definedName name="_xlnm.Print_Area" localSheetId="0">Calculador!$A$1:$K$56</definedName>
    <definedName name="_xlnm.Print_Area" localSheetId="3">Notas!$A$1:$C$25</definedName>
    <definedName name="_xlnm.Print_Area" localSheetId="2">Parámetros!$A$1:$G$29</definedName>
    <definedName name="_xlnm.Print_Area" localSheetId="1">Sensibilidad!$A$1:$J$42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4" l="1"/>
  <c r="E19" i="4"/>
  <c r="E18" i="4"/>
  <c r="E17" i="4"/>
  <c r="E16" i="4"/>
  <c r="E15" i="4"/>
  <c r="C80" i="3"/>
  <c r="C79" i="3"/>
  <c r="C78" i="3"/>
  <c r="C77" i="3"/>
  <c r="C76" i="3"/>
  <c r="C75" i="3"/>
  <c r="D22" i="3" s="1"/>
  <c r="C74" i="3"/>
  <c r="C35" i="3" s="1"/>
  <c r="C73" i="3"/>
  <c r="C72" i="3"/>
  <c r="C71" i="3"/>
  <c r="C70" i="3"/>
  <c r="C16" i="3" s="1"/>
  <c r="C67" i="3"/>
  <c r="C66" i="3"/>
  <c r="C65" i="3"/>
  <c r="C64" i="3"/>
  <c r="C39" i="3"/>
  <c r="C38" i="3"/>
  <c r="C37" i="3"/>
  <c r="C34" i="3"/>
  <c r="C32" i="3"/>
  <c r="C27" i="3"/>
  <c r="C25" i="3"/>
  <c r="C24" i="3"/>
  <c r="C23" i="3"/>
  <c r="B8" i="3"/>
  <c r="C35" i="1"/>
  <c r="C34" i="1"/>
  <c r="G33" i="1"/>
  <c r="G34" i="1" s="1"/>
  <c r="C33" i="1"/>
  <c r="G32" i="1"/>
  <c r="C32" i="1"/>
  <c r="D29" i="1"/>
  <c r="D25" i="1"/>
  <c r="H24" i="1"/>
  <c r="I24" i="1" s="1"/>
  <c r="H21" i="1"/>
  <c r="G21" i="1" s="1"/>
  <c r="H20" i="1"/>
  <c r="I20" i="1" s="1"/>
  <c r="H19" i="1"/>
  <c r="G19" i="1" s="1"/>
  <c r="D18" i="1"/>
  <c r="J16" i="1"/>
  <c r="D16" i="1"/>
  <c r="F13" i="1"/>
  <c r="F12" i="1"/>
  <c r="I11" i="1"/>
  <c r="G11" i="1"/>
  <c r="F11" i="1"/>
  <c r="C69" i="3" l="1"/>
  <c r="G22" i="3"/>
  <c r="D34" i="3"/>
  <c r="E22" i="3"/>
  <c r="F22" i="3"/>
  <c r="H22" i="3"/>
  <c r="C12" i="3"/>
  <c r="C68" i="3"/>
  <c r="C14" i="3"/>
  <c r="C13" i="3"/>
  <c r="C15" i="3"/>
  <c r="C17" i="3"/>
  <c r="D35" i="3"/>
  <c r="D32" i="3"/>
  <c r="D37" i="3"/>
  <c r="D39" i="3"/>
  <c r="D38" i="3"/>
  <c r="H15" i="1"/>
  <c r="H16" i="1"/>
  <c r="D15" i="1"/>
  <c r="I19" i="1"/>
  <c r="I21" i="1"/>
  <c r="H25" i="1"/>
  <c r="H27" i="1"/>
  <c r="C62" i="3" s="1"/>
  <c r="H35" i="1"/>
  <c r="C33" i="3"/>
  <c r="D33" i="3" s="1"/>
  <c r="G16" i="1"/>
  <c r="C26" i="3"/>
  <c r="C36" i="3"/>
  <c r="D36" i="3" s="1"/>
  <c r="G20" i="1"/>
  <c r="G27" i="1" s="1"/>
  <c r="G24" i="1"/>
  <c r="C40" i="3"/>
  <c r="D40" i="3" s="1"/>
  <c r="G35" i="1" l="1"/>
  <c r="H22" i="1"/>
  <c r="H23" i="1"/>
  <c r="I16" i="1"/>
  <c r="G36" i="1"/>
  <c r="G17" i="3"/>
  <c r="F17" i="3"/>
  <c r="E16" i="3"/>
  <c r="D15" i="3"/>
  <c r="I12" i="3"/>
  <c r="G13" i="3"/>
  <c r="E17" i="3"/>
  <c r="D16" i="3"/>
  <c r="I13" i="3"/>
  <c r="H12" i="3"/>
  <c r="H14" i="3"/>
  <c r="F12" i="3"/>
  <c r="D17" i="3"/>
  <c r="I14" i="3"/>
  <c r="H13" i="3"/>
  <c r="G12" i="3"/>
  <c r="I15" i="3"/>
  <c r="I16" i="3"/>
  <c r="H15" i="3"/>
  <c r="G14" i="3"/>
  <c r="F13" i="3"/>
  <c r="E12" i="3"/>
  <c r="I17" i="3"/>
  <c r="H16" i="3"/>
  <c r="G15" i="3"/>
  <c r="F14" i="3"/>
  <c r="E13" i="3"/>
  <c r="D12" i="3"/>
  <c r="H17" i="3"/>
  <c r="G16" i="3"/>
  <c r="F15" i="3"/>
  <c r="E14" i="3"/>
  <c r="D13" i="3"/>
  <c r="F16" i="3"/>
  <c r="E15" i="3"/>
  <c r="D14" i="3"/>
  <c r="I25" i="1"/>
  <c r="G25" i="1"/>
  <c r="I27" i="1"/>
  <c r="G22" i="1" l="1"/>
  <c r="I22" i="1"/>
  <c r="G23" i="1"/>
  <c r="I23" i="1"/>
  <c r="H28" i="1"/>
  <c r="C63" i="3" s="1"/>
  <c r="H26" i="1"/>
  <c r="F9" i="1" l="1"/>
  <c r="J24" i="1"/>
  <c r="J22" i="1"/>
  <c r="J20" i="1"/>
  <c r="J25" i="1"/>
  <c r="J23" i="1"/>
  <c r="J21" i="1"/>
  <c r="J19" i="1"/>
  <c r="G23" i="3"/>
  <c r="G27" i="3"/>
  <c r="E37" i="3"/>
  <c r="F25" i="3"/>
  <c r="G25" i="3"/>
  <c r="E38" i="3"/>
  <c r="H27" i="3"/>
  <c r="D23" i="3"/>
  <c r="E34" i="3"/>
  <c r="F24" i="3"/>
  <c r="E23" i="3"/>
  <c r="D24" i="3"/>
  <c r="H24" i="3"/>
  <c r="E35" i="3"/>
  <c r="E25" i="3"/>
  <c r="H25" i="3"/>
  <c r="G24" i="3"/>
  <c r="D25" i="3"/>
  <c r="F27" i="3"/>
  <c r="H23" i="3"/>
  <c r="E24" i="3"/>
  <c r="D27" i="3"/>
  <c r="E27" i="3"/>
  <c r="F23" i="3"/>
  <c r="E39" i="3"/>
  <c r="E32" i="3"/>
  <c r="H26" i="3"/>
  <c r="E26" i="3"/>
  <c r="G26" i="3"/>
  <c r="F26" i="3"/>
  <c r="E33" i="3"/>
  <c r="E40" i="3"/>
  <c r="E36" i="3"/>
  <c r="D26" i="3"/>
  <c r="I26" i="1"/>
  <c r="G9" i="1" s="1"/>
  <c r="I28" i="1"/>
  <c r="G26" i="1"/>
  <c r="I9" i="1" s="1"/>
  <c r="G28" i="1"/>
  <c r="J26" i="1" l="1"/>
  <c r="J27" i="1"/>
  <c r="J28" i="1"/>
</calcChain>
</file>

<file path=xl/sharedStrings.xml><?xml version="1.0" encoding="utf-8"?>
<sst xmlns="http://schemas.openxmlformats.org/spreadsheetml/2006/main" count="189" uniqueCount="170">
  <si>
    <t>Calculador de Costos de Secado de Granos</t>
  </si>
  <si>
    <t>Ascariscer · Investigación y Desarrollo</t>
  </si>
  <si>
    <t>1 · CONFIGURACIÓN</t>
  </si>
  <si>
    <t>3 · RESULTADOS</t>
  </si>
  <si>
    <t>Tipo de sistema de secado</t>
  </si>
  <si>
    <t>6. Alta temp. personalizado</t>
  </si>
  <si>
    <t>COSTO POR TONELADA</t>
  </si>
  <si>
    <t>COSTO POR PUNTO · TONELADA</t>
  </si>
  <si>
    <t>COSTO ANUAL</t>
  </si>
  <si>
    <t>Fuente de energía</t>
  </si>
  <si>
    <t>3. Gas oil</t>
  </si>
  <si>
    <t>Moneda de trabajo</t>
  </si>
  <si>
    <t>ARS</t>
  </si>
  <si>
    <t>Interés calculado sobre</t>
  </si>
  <si>
    <t>Inversión total</t>
  </si>
  <si>
    <t>Para el sistema 6, cargue su requerimiento energético en la hoja Parámetros ›</t>
  </si>
  <si>
    <t>2 · DATOS DE ENTRADA</t>
  </si>
  <si>
    <t>Consumo energético</t>
  </si>
  <si>
    <t>Electricidad</t>
  </si>
  <si>
    <t>Combustible</t>
  </si>
  <si>
    <t>Energía total</t>
  </si>
  <si>
    <t>Agua removida</t>
  </si>
  <si>
    <t>Costo del combustible</t>
  </si>
  <si>
    <t>Por tonelada de grano húmedo</t>
  </si>
  <si>
    <t>kWh/t</t>
  </si>
  <si>
    <t>kcal/punto·t</t>
  </si>
  <si>
    <t>kg/t</t>
  </si>
  <si>
    <t>Costo de la electricidad</t>
  </si>
  <si>
    <t>Tasa de interés</t>
  </si>
  <si>
    <t>% anual</t>
  </si>
  <si>
    <t>Costo de mano de obra</t>
  </si>
  <si>
    <t>Costo de secado</t>
  </si>
  <si>
    <t>Costo / año</t>
  </si>
  <si>
    <t>Costo / t</t>
  </si>
  <si>
    <t>Costo / punto·t</t>
  </si>
  <si>
    <t>% del total</t>
  </si>
  <si>
    <t>Tiempo del operario dedicado al secado</t>
  </si>
  <si>
    <t>% del tiempo</t>
  </si>
  <si>
    <t>Interés</t>
  </si>
  <si>
    <t>Capacidad de secado</t>
  </si>
  <si>
    <t>t/h</t>
  </si>
  <si>
    <t>Amortización</t>
  </si>
  <si>
    <t>Puntos de humedad de referencia de la capacidad</t>
  </si>
  <si>
    <t>Reparación y mantenimiento</t>
  </si>
  <si>
    <t>Humedad inicial</t>
  </si>
  <si>
    <t>% base húmeda</t>
  </si>
  <si>
    <t>Energía calórica (combustible)</t>
  </si>
  <si>
    <t>Humedad final</t>
  </si>
  <si>
    <t>Toneladas secadas por año</t>
  </si>
  <si>
    <t>t/año</t>
  </si>
  <si>
    <t>Manipulación</t>
  </si>
  <si>
    <t>Inversión inicial en el sistema de secado</t>
  </si>
  <si>
    <t>Mano de obra</t>
  </si>
  <si>
    <t>Vida útil del sistema</t>
  </si>
  <si>
    <t>años</t>
  </si>
  <si>
    <t>Total</t>
  </si>
  <si>
    <t>Valor residual</t>
  </si>
  <si>
    <t>% de la inversión</t>
  </si>
  <si>
    <t>Costos fijos</t>
  </si>
  <si>
    <t>% de la inversión / año</t>
  </si>
  <si>
    <t>Costos variables</t>
  </si>
  <si>
    <t>Costo de manipulación</t>
  </si>
  <si>
    <t>Fijos: interés + amortización + mantenimiento · Variables: energía + manipulación + mano de obra</t>
  </si>
  <si>
    <t>PARÁMETROS DEL SISTEMA SELECCIONADO</t>
  </si>
  <si>
    <t>Operación anual</t>
  </si>
  <si>
    <t>Valor</t>
  </si>
  <si>
    <t>Unidad</t>
  </si>
  <si>
    <t>Requerimiento energético</t>
  </si>
  <si>
    <t>kcal / kg de agua</t>
  </si>
  <si>
    <t>Puntos de humedad removidos</t>
  </si>
  <si>
    <t>puntos</t>
  </si>
  <si>
    <t>Energía eléctrica</t>
  </si>
  <si>
    <t>% de la energía total</t>
  </si>
  <si>
    <t>Capacidad ajustada</t>
  </si>
  <si>
    <t>t/h (según puntos removidos)</t>
  </si>
  <si>
    <t>Poder calorífico del combustible</t>
  </si>
  <si>
    <t>kcal / unidad</t>
  </si>
  <si>
    <t>Horas de operación por año</t>
  </si>
  <si>
    <t>h/año</t>
  </si>
  <si>
    <t>Unidad del combustible</t>
  </si>
  <si>
    <t>Combustible consumido por año</t>
  </si>
  <si>
    <t>Electricidad consumida por año</t>
  </si>
  <si>
    <t>kWh/año</t>
  </si>
  <si>
    <t>CÓMO USAR ESTA PLANILLA</t>
  </si>
  <si>
    <t>Las celdas con fondo verde claro son las que se editan; el resto se calcula solo.</t>
  </si>
  <si>
    <t>Las celdas grises toman valores de la hoja Parámetros (ahí se modifican).</t>
  </si>
  <si>
    <t>Comparador y Sensibilidad se actualizan con los datos cargados acá.</t>
  </si>
  <si>
    <t>Ascariscer · Investigación y Desarrollo — Estimaciones basadas en los datos ingresados. Ver hoja Notas para metodología y supuestos.</t>
  </si>
  <si>
    <t>Sistema</t>
  </si>
  <si>
    <t>Capacidad de secado (t/h)</t>
  </si>
  <si>
    <t>Vida útil (años)</t>
  </si>
  <si>
    <t>Energía eléctrica (% del total)</t>
  </si>
  <si>
    <t>Sensibilidad del costo de secado</t>
  </si>
  <si>
    <t>¿CÓMO CAMBIA EL COSTO SI CAMBIAN LOS DATOS CLAVE?</t>
  </si>
  <si>
    <t>1 · Costo total según precio del combustible y puntos de humedad removidos</t>
  </si>
  <si>
    <t>Variación de precio ↓  ·  Puntos removidos →</t>
  </si>
  <si>
    <t>Precio</t>
  </si>
  <si>
    <t>Celda con borde azul = caso base del Calculador (si los ejes incluyen 100 % y los puntos removidos base).</t>
  </si>
  <si>
    <t>2 · Costo total según toneladas por año e inversión inicial</t>
  </si>
  <si>
    <t>Toneladas ↓  ·  Variación de inversión →</t>
  </si>
  <si>
    <t>Toneladas</t>
  </si>
  <si>
    <t>Inversión resultante</t>
  </si>
  <si>
    <t>Los costos variables (energía, manipulación, mano de obra) se mantienen; solo cambian los costos fijos por tonelada.</t>
  </si>
  <si>
    <t>3 · Efecto de la escala: costo total por tonelada según toneladas anuales (inversión del Calculador)</t>
  </si>
  <si>
    <t>Toneladas por año (% de la base)</t>
  </si>
  <si>
    <t>Costo fijo / t</t>
  </si>
  <si>
    <t>Costo total / t</t>
  </si>
  <si>
    <t>ANEXO · DATOS HEREDADOS DEL CALCULADOR (no editar)</t>
  </si>
  <si>
    <t>Costos fijos por tonelada (interés + amortización + mantenimiento)</t>
  </si>
  <si>
    <t>Costos variables por tonelada</t>
  </si>
  <si>
    <t>Manipulación por tonelada</t>
  </si>
  <si>
    <t>Mano de obra: costo por hora × % de tiempo</t>
  </si>
  <si>
    <t>Puntos de referencia de la capacidad</t>
  </si>
  <si>
    <t>Combustible por kg de agua removida (unidad/kg)</t>
  </si>
  <si>
    <t>Electricidad por kg de agua removida (kWh/kg)</t>
  </si>
  <si>
    <t>Precio del combustible</t>
  </si>
  <si>
    <t>Precio de la electricidad</t>
  </si>
  <si>
    <t>Puntos de humedad removidos (caso base)</t>
  </si>
  <si>
    <t>Toneladas por año (base)</t>
  </si>
  <si>
    <t>Inversión (base)</t>
  </si>
  <si>
    <t>Reparación y mantenimiento (% de la inversión)</t>
  </si>
  <si>
    <t>Factor de interés (1 = total; (1 + VR)/2 = promedio)</t>
  </si>
  <si>
    <t>Parámetros y tablas de referencia</t>
  </si>
  <si>
    <t>COMBUSTIBLES</t>
  </si>
  <si>
    <t>Poder calorífico (kcal/unidad)</t>
  </si>
  <si>
    <t>Nota</t>
  </si>
  <si>
    <t>1. GLP</t>
  </si>
  <si>
    <t>L</t>
  </si>
  <si>
    <t>2. GN</t>
  </si>
  <si>
    <t>m³</t>
  </si>
  <si>
    <t>SISTEMAS DE SECADO</t>
  </si>
  <si>
    <t>Requerimiento (kcal/kg agua removida)</t>
  </si>
  <si>
    <t>Energía térmica (% del total)</t>
  </si>
  <si>
    <t>1. Aire natural</t>
  </si>
  <si>
    <t>2. Baja temperatura *</t>
  </si>
  <si>
    <t>* De la Torre D., Bartosik R., Rodríguez J., Maier D. (2008). Natural Air/Low Temperature In-bin Drying Strategies for Three Different Climatic Regions in Argentina. 2008 International Grain Quality and Technology Congress.</t>
  </si>
  <si>
    <t>3. Tandas en silo</t>
  </si>
  <si>
    <t>4. Alta temp. con recirculación</t>
  </si>
  <si>
    <t>5. Alta temp. sin recirculación</t>
  </si>
  <si>
    <t>Ingrese aquí el requerimiento propio de su equipo (kcal por kg de agua removida). Se usa al elegir el sistema 6 en el Calculador.</t>
  </si>
  <si>
    <t>Requerimientos y fracción eléctrica: coeficientes de la planilla original, sin fuente explícita en el archivo. A validar.</t>
  </si>
  <si>
    <t>CONSTANTES</t>
  </si>
  <si>
    <t>Equivalencia energética (kcal por kWh)</t>
  </si>
  <si>
    <t>LISTAS DEL CALCULADOR</t>
  </si>
  <si>
    <t>Moneda</t>
  </si>
  <si>
    <t>Método de interés</t>
  </si>
  <si>
    <t>Total: criterio de la planilla original (tasa × inversión).</t>
  </si>
  <si>
    <t>USD</t>
  </si>
  <si>
    <t>Inversión promedio</t>
  </si>
  <si>
    <t>Promedio: tasa × inversión × (1 + valor residual) / 2. Menos conservador.</t>
  </si>
  <si>
    <t>La moneda es solo una etiqueta: no convierte valores.</t>
  </si>
  <si>
    <t>Notas, metodología y supuestos</t>
  </si>
  <si>
    <t>CÓMO FUNCIONA</t>
  </si>
  <si>
    <t>•  Agua a remover por tonelada de grano húmedo: 1000 × (Hi − Hf) / (1 − Hf), con humedades en base húmeda.</t>
  </si>
  <si>
    <t>•  Energía total = agua removida × requerimiento del sistema (kcal/kg de agua). Se reparte entre energía eléctrica y térmica según el % eléctrico de cada sistema (hoja Parámetros).</t>
  </si>
  <si>
    <t>•  Electricidad (kWh/t) = energía eléctrica / 860,06. Combustible (unidad/t) = energía térmica / poder calorífico del combustible.</t>
  </si>
  <si>
    <t>•  Interés = inversión × tasa (o × (1 + valor residual)/2 si se elige inversión promedio). Amortización lineal = inversión × (1 − valor residual) / vida útil. Mantenimiento = % de la inversión por año.</t>
  </si>
  <si>
    <t>•  Mano de obra = costo por hora × % de tiempo dedicado / capacidad de secado. Si se indica un punto de referencia para la capacidad, ésta varía en proporción inversa a los puntos removidos (aproximación de primer orden).</t>
  </si>
  <si>
    <t>•  Los costos anuales se dividen por las toneladas secadas por año. El costo por punto·t divide el costo por tonelada por los puntos de humedad removidos.</t>
  </si>
  <si>
    <t>SUPUESTOS Y VALORES DE EJEMPLO</t>
  </si>
  <si>
    <t>•  Los valores cargados provienen de la planilla original y son de ejemplo: actualizar moneda, precios, inversión, capacidad y vida útil.</t>
  </si>
  <si>
    <t>•  La energía se calcula por tonelada de grano húmedo (a la humedad inicial); las toneladas anuales se interpretan en la misma base.</t>
  </si>
  <si>
    <t>•  El selector de moneda es solo una etiqueta: no convierte valores entre ARS y USD.</t>
  </si>
  <si>
    <t>•  En el Comparador, inversión, capacidad y vida útil de cada sistema toman por defecto los valores del Calculador. Para una comparación realista, cargar los datos de cada equipo.</t>
  </si>
  <si>
    <t>Balance Energético Útil de Argentina, publicado por la Secretaría de Energía. El valor de GLP sale de considerar una capacidad calorica de 11,000 k/cal/kg y una densidad de a 0,590 kg/L =&gt; 6490 kcal/L</t>
  </si>
  <si>
    <t>puntos (0 = sin ajuste - (dejar en 0, no tocar))</t>
  </si>
  <si>
    <t>•  Los requerimientos energéticos y el % eléctrico. Referencia para baja temperatura: De la Torre D., Bartosik R., Rodríguez J., Maier D. (2008), 2008 International Grain Quality and Technology Congress.</t>
  </si>
  <si>
    <t>•  Los poderes caloríficos de los tres combustibles se expresan con el mismo criterio (PCI).</t>
  </si>
  <si>
    <t>Ricardo Bartosik</t>
  </si>
  <si>
    <t>V: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</si>
</sst>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#,##0.000"/>
    <numFmt numFmtId="166" formatCode="#,##0.0"/>
    <numFmt numFmtId="167" formatCode="0.0"/>
    <numFmt numFmtId="169" formatCode="0.0&quot; pts&quot;"/>
    <numFmt numFmtId="170" formatCode="#,##0.0000"/>
    <numFmt numFmtId="171" formatCode="0.000000"/>
    <numFmt numFmtId="172" formatCode="0.000"/>
  </numFmts>
  <fonts count="21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sz val="10"/>
      <color rgb="FFD6DDB8"/>
      <name val="Arial"/>
      <charset val="1"/>
    </font>
    <font>
      <b/>
      <sz val="11"/>
      <color rgb="FFFFFFFF"/>
      <name val="Arial"/>
      <charset val="1"/>
    </font>
    <font>
      <sz val="10"/>
      <color rgb="FF1F2937"/>
      <name val="Arial"/>
      <charset val="1"/>
    </font>
    <font>
      <b/>
      <sz val="10"/>
      <color rgb="FF142D64"/>
      <name val="Arial"/>
      <charset val="1"/>
    </font>
    <font>
      <b/>
      <sz val="9"/>
      <color rgb="FFD6DDB8"/>
      <name val="Arial"/>
      <charset val="1"/>
    </font>
    <font>
      <b/>
      <sz val="22"/>
      <color rgb="FFFFFFFF"/>
      <name val="Arial"/>
      <charset val="1"/>
    </font>
    <font>
      <sz val="9"/>
      <color rgb="FFD6DDB8"/>
      <name val="Arial"/>
      <charset val="1"/>
    </font>
    <font>
      <i/>
      <u/>
      <sz val="9"/>
      <color rgb="FF6F7D3E"/>
      <name val="Arial"/>
      <charset val="1"/>
    </font>
    <font>
      <b/>
      <sz val="9"/>
      <color rgb="FF6F7D3E"/>
      <name val="Arial"/>
      <charset val="1"/>
    </font>
    <font>
      <i/>
      <sz val="9"/>
      <color rgb="FF6B7280"/>
      <name val="Arial"/>
      <charset val="1"/>
    </font>
    <font>
      <sz val="9"/>
      <color rgb="FF6B7280"/>
      <name val="Arial"/>
      <charset val="1"/>
    </font>
    <font>
      <sz val="8"/>
      <color rgb="FF6B7280"/>
      <name val="Arial"/>
      <charset val="1"/>
    </font>
    <font>
      <b/>
      <sz val="12"/>
      <color rgb="FF142D64"/>
      <name val="Arial"/>
      <charset val="1"/>
    </font>
    <font>
      <b/>
      <sz val="12"/>
      <color rgb="FFFFFFFF"/>
      <name val="Arial"/>
      <charset val="1"/>
    </font>
    <font>
      <i/>
      <sz val="8"/>
      <color rgb="FF6B7280"/>
      <name val="Arial"/>
      <charset val="1"/>
    </font>
    <font>
      <b/>
      <sz val="11"/>
      <color rgb="FF142D64"/>
      <name val="Arial"/>
      <charset val="1"/>
    </font>
    <font>
      <b/>
      <sz val="9"/>
      <color rgb="FF142D64"/>
      <name val="Arial"/>
      <charset val="1"/>
    </font>
    <font>
      <sz val="10"/>
      <color rgb="FF1F2937"/>
      <name val="Arial"/>
      <family val="2"/>
    </font>
    <font>
      <sz val="11"/>
      <color theme="0" tint="-4.9989318521683403E-2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42D64"/>
        <bgColor rgb="FF1F2937"/>
      </patternFill>
    </fill>
    <fill>
      <patternFill patternType="solid">
        <fgColor rgb="FF6F7D3E"/>
        <bgColor rgb="FF6B7280"/>
      </patternFill>
    </fill>
    <fill>
      <patternFill patternType="solid">
        <fgColor rgb="FFEEF1E4"/>
        <bgColor rgb="FFF3F4F6"/>
      </patternFill>
    </fill>
    <fill>
      <patternFill patternType="solid">
        <fgColor rgb="FFF3F4F6"/>
        <bgColor rgb="FFEEF1E4"/>
      </patternFill>
    </fill>
  </fills>
  <borders count="6">
    <border>
      <left/>
      <right/>
      <top/>
      <bottom/>
      <diagonal/>
    </border>
    <border>
      <left style="thin">
        <color rgb="FFB9C48F"/>
      </left>
      <right style="thin">
        <color rgb="FFB9C48F"/>
      </right>
      <top style="thin">
        <color rgb="FFB9C48F"/>
      </top>
      <bottom style="thin">
        <color rgb="FFB9C48F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6F7D3E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0" fontId="0" fillId="3" borderId="0" xfId="0" applyFill="1"/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 applyProtection="1">
      <alignment horizontal="right" vertical="center" indent="1"/>
      <protection locked="0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right" vertical="center" indent="1"/>
      <protection locked="0"/>
    </xf>
    <xf numFmtId="9" fontId="5" fillId="4" borderId="1" xfId="0" applyNumberFormat="1" applyFont="1" applyFill="1" applyBorder="1" applyAlignment="1" applyProtection="1">
      <alignment horizontal="right" vertical="center" indent="1"/>
      <protection locked="0"/>
    </xf>
    <xf numFmtId="0" fontId="4" fillId="0" borderId="4" xfId="0" applyFont="1" applyBorder="1" applyAlignment="1">
      <alignment horizontal="left" vertical="center" indent="1"/>
    </xf>
    <xf numFmtId="3" fontId="4" fillId="0" borderId="4" xfId="0" applyNumberFormat="1" applyFont="1" applyBorder="1" applyAlignment="1">
      <alignment horizontal="right" vertical="center" indent="1"/>
    </xf>
    <xf numFmtId="4" fontId="4" fillId="0" borderId="4" xfId="0" applyNumberFormat="1" applyFont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4" fontId="4" fillId="0" borderId="4" xfId="0" applyNumberFormat="1" applyFont="1" applyBorder="1" applyAlignment="1">
      <alignment horizontal="right" vertical="center" indent="1"/>
    </xf>
    <xf numFmtId="166" fontId="5" fillId="4" borderId="1" xfId="0" applyNumberFormat="1" applyFont="1" applyFill="1" applyBorder="1" applyAlignment="1" applyProtection="1">
      <alignment horizontal="right" vertical="center" indent="1"/>
      <protection locked="0"/>
    </xf>
    <xf numFmtId="167" fontId="5" fillId="4" borderId="1" xfId="0" applyNumberFormat="1" applyFont="1" applyFill="1" applyBorder="1" applyAlignment="1" applyProtection="1">
      <alignment horizontal="right" vertical="center" indent="1"/>
      <protection locked="0"/>
    </xf>
    <xf numFmtId="3" fontId="5" fillId="4" borderId="1" xfId="0" applyNumberFormat="1" applyFont="1" applyFill="1" applyBorder="1" applyAlignment="1" applyProtection="1">
      <alignment horizontal="right" vertical="center" indent="1"/>
      <protection locked="0"/>
    </xf>
    <xf numFmtId="1" fontId="5" fillId="4" borderId="1" xfId="0" applyNumberFormat="1" applyFont="1" applyFill="1" applyBorder="1" applyAlignment="1" applyProtection="1">
      <alignment horizontal="right" vertical="center" indent="1"/>
      <protection locked="0"/>
    </xf>
    <xf numFmtId="0" fontId="15" fillId="2" borderId="0" xfId="0" applyFont="1" applyFill="1" applyAlignment="1">
      <alignment horizontal="left" vertical="center" indent="1"/>
    </xf>
    <xf numFmtId="3" fontId="3" fillId="2" borderId="0" xfId="0" applyNumberFormat="1" applyFont="1" applyFill="1" applyAlignment="1">
      <alignment horizontal="right" vertical="center" indent="1"/>
    </xf>
    <xf numFmtId="4" fontId="3" fillId="2" borderId="0" xfId="0" applyNumberFormat="1" applyFont="1" applyFill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4" fontId="11" fillId="0" borderId="0" xfId="0" applyNumberFormat="1" applyFont="1" applyAlignment="1">
      <alignment horizontal="right" vertical="center" indent="1"/>
    </xf>
    <xf numFmtId="165" fontId="11" fillId="0" borderId="0" xfId="0" applyNumberFormat="1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0" fontId="16" fillId="0" borderId="0" xfId="0" applyFont="1" applyAlignment="1">
      <alignment horizontal="left" vertical="center" indent="1"/>
    </xf>
    <xf numFmtId="0" fontId="5" fillId="0" borderId="3" xfId="0" applyFont="1" applyBorder="1"/>
    <xf numFmtId="4" fontId="4" fillId="5" borderId="5" xfId="0" applyNumberFormat="1" applyFont="1" applyFill="1" applyBorder="1" applyAlignment="1">
      <alignment horizontal="right" vertical="center" indent="1"/>
    </xf>
    <xf numFmtId="167" fontId="5" fillId="0" borderId="4" xfId="0" applyNumberFormat="1" applyFont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0" fillId="0" borderId="4" xfId="0" applyBorder="1"/>
    <xf numFmtId="9" fontId="4" fillId="5" borderId="5" xfId="0" applyNumberFormat="1" applyFont="1" applyFill="1" applyBorder="1" applyAlignment="1">
      <alignment horizontal="right" vertical="center" indent="1"/>
    </xf>
    <xf numFmtId="166" fontId="5" fillId="0" borderId="4" xfId="0" applyNumberFormat="1" applyFont="1" applyBorder="1" applyAlignment="1">
      <alignment horizontal="right" vertical="center" indent="1"/>
    </xf>
    <xf numFmtId="3" fontId="4" fillId="5" borderId="5" xfId="0" applyNumberFormat="1" applyFont="1" applyFill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49" fontId="4" fillId="5" borderId="5" xfId="0" applyNumberFormat="1" applyFont="1" applyFill="1" applyBorder="1" applyAlignment="1">
      <alignment horizontal="right" vertical="center" indent="1"/>
    </xf>
    <xf numFmtId="4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16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70" fontId="12" fillId="5" borderId="0" xfId="0" applyNumberFormat="1" applyFont="1" applyFill="1" applyAlignment="1">
      <alignment horizontal="right" vertical="center" indent="1"/>
    </xf>
    <xf numFmtId="166" fontId="12" fillId="5" borderId="0" xfId="0" applyNumberFormat="1" applyFont="1" applyFill="1" applyAlignment="1">
      <alignment horizontal="right" vertical="center" indent="1"/>
    </xf>
    <xf numFmtId="167" fontId="12" fillId="5" borderId="0" xfId="0" applyNumberFormat="1" applyFont="1" applyFill="1" applyAlignment="1">
      <alignment horizontal="right" vertical="center" indent="1"/>
    </xf>
    <xf numFmtId="171" fontId="12" fillId="5" borderId="0" xfId="0" applyNumberFormat="1" applyFont="1" applyFill="1" applyAlignment="1">
      <alignment horizontal="right" vertical="center" indent="1"/>
    </xf>
    <xf numFmtId="4" fontId="12" fillId="5" borderId="0" xfId="0" applyNumberFormat="1" applyFont="1" applyFill="1" applyAlignment="1">
      <alignment horizontal="right" vertical="center" indent="1"/>
    </xf>
    <xf numFmtId="164" fontId="12" fillId="5" borderId="0" xfId="0" applyNumberFormat="1" applyFont="1" applyFill="1" applyAlignment="1">
      <alignment horizontal="right" vertical="center" indent="1"/>
    </xf>
    <xf numFmtId="2" fontId="12" fillId="5" borderId="0" xfId="0" applyNumberFormat="1" applyFont="1" applyFill="1" applyAlignment="1">
      <alignment horizontal="right" vertical="center" indent="1"/>
    </xf>
    <xf numFmtId="3" fontId="12" fillId="5" borderId="0" xfId="0" applyNumberFormat="1" applyFont="1" applyFill="1" applyAlignment="1">
      <alignment horizontal="right" vertical="center" indent="1"/>
    </xf>
    <xf numFmtId="1" fontId="12" fillId="5" borderId="0" xfId="0" applyNumberFormat="1" applyFont="1" applyFill="1" applyAlignment="1">
      <alignment horizontal="right" vertical="center" indent="1"/>
    </xf>
    <xf numFmtId="172" fontId="12" fillId="5" borderId="0" xfId="0" applyNumberFormat="1" applyFont="1" applyFill="1" applyAlignment="1">
      <alignment horizontal="right" vertical="center" inden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 indent="1"/>
    </xf>
    <xf numFmtId="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 indent="1"/>
    </xf>
    <xf numFmtId="0" fontId="12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 indent="1"/>
    </xf>
    <xf numFmtId="4" fontId="5" fillId="4" borderId="1" xfId="0" applyNumberFormat="1" applyFont="1" applyFill="1" applyBorder="1" applyAlignment="1" applyProtection="1">
      <alignment horizontal="right" vertical="center" indent="1"/>
    </xf>
    <xf numFmtId="9" fontId="5" fillId="4" borderId="1" xfId="0" applyNumberFormat="1" applyFont="1" applyFill="1" applyBorder="1" applyAlignment="1" applyProtection="1">
      <alignment horizontal="right" vertical="center" indent="1"/>
    </xf>
    <xf numFmtId="3" fontId="5" fillId="4" borderId="1" xfId="0" applyNumberFormat="1" applyFont="1" applyFill="1" applyBorder="1" applyAlignment="1" applyProtection="1">
      <alignment horizontal="right" vertical="center" indent="1"/>
    </xf>
    <xf numFmtId="0" fontId="19" fillId="0" borderId="0" xfId="0" applyFont="1" applyAlignment="1">
      <alignment vertical="top" wrapText="1" indent="1"/>
    </xf>
    <xf numFmtId="0" fontId="20" fillId="2" borderId="0" xfId="0" applyFont="1" applyFill="1"/>
    <xf numFmtId="14" fontId="20" fillId="2" borderId="0" xfId="0" applyNumberFormat="1" applyFont="1" applyFill="1" applyAlignment="1">
      <alignment horizontal="left"/>
    </xf>
  </cellXfs>
  <cellStyles count="1">
    <cellStyle name="Normal" xfId="0" builtinId="0"/>
  </cellStyles>
  <dxfs count="3">
    <dxf>
      <font>
        <b/>
        <color rgb="FF142D64"/>
      </font>
      <border diagonalUp="0" diagonalDown="0">
        <left style="medium">
          <color rgb="FF142D64"/>
        </left>
        <right style="medium">
          <color rgb="FF142D64"/>
        </right>
        <top style="medium">
          <color rgb="FF142D64"/>
        </top>
        <bottom style="medium">
          <color rgb="FF142D64"/>
        </bottom>
      </border>
    </dxf>
    <dxf>
      <font>
        <b/>
        <color rgb="FF142D64"/>
      </font>
      <border diagonalUp="0" diagonalDown="0">
        <left style="medium">
          <color rgb="FF142D64"/>
        </left>
        <right style="medium">
          <color rgb="FF142D64"/>
        </right>
        <top style="medium">
          <color rgb="FF142D64"/>
        </top>
        <bottom style="medium">
          <color rgb="FF142D64"/>
        </bottom>
      </border>
    </dxf>
    <dxf>
      <font>
        <b/>
        <color rgb="FFB42318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F7D3E"/>
      <rgbColor rgb="FF800080"/>
      <rgbColor rgb="FF008080"/>
      <rgbColor rgb="FFB9C48F"/>
      <rgbColor rgb="FF878787"/>
      <rgbColor rgb="FF7F91C4"/>
      <rgbColor rgb="FF993366"/>
      <rgbColor rgb="FFEEF1E4"/>
      <rgbColor rgb="FFF3F4F6"/>
      <rgbColor rgb="FF660066"/>
      <rgbColor rgb="FFFF8080"/>
      <rgbColor rgb="FF0066CC"/>
      <rgbColor rgb="FFC9CF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6DDB8"/>
      <rgbColor rgb="FFFFFF99"/>
      <rgbColor rgb="FFD1D5DB"/>
      <rgbColor rgb="FFFF99CC"/>
      <rgbColor rgb="FFCC99FF"/>
      <rgbColor rgb="FFD9D9D9"/>
      <rgbColor rgb="FF3366FF"/>
      <rgbColor rgb="FF33CCCC"/>
      <rgbColor rgb="FFA3AF74"/>
      <rgbColor rgb="FFFFCC00"/>
      <rgbColor rgb="FFFF9900"/>
      <rgbColor rgb="FFFF6600"/>
      <rgbColor rgb="FF6B7280"/>
      <rgbColor rgb="FF8A8F98"/>
      <rgbColor rgb="FF142D64"/>
      <rgbColor rgb="FF339966"/>
      <rgbColor rgb="FF003300"/>
      <rgbColor rgb="FF333300"/>
      <rgbColor rgb="FFB42318"/>
      <rgbColor rgb="FF993366"/>
      <rgbColor rgb="FF3B508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AR" sz="1800" b="1" strike="noStrike" spc="-1">
                <a:solidFill>
                  <a:srgbClr val="000000"/>
                </a:solidFill>
                <a:latin typeface="Calibri"/>
              </a:rPr>
              <a:t>Composición del costo por tonelada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142D64"/>
            </a:solidFill>
            <a:ln w="9360">
              <a:solidFill>
                <a:srgbClr val="142D64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A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Calculador!$F$19:$F$25</c:f>
              <c:strCache>
                <c:ptCount val="7"/>
                <c:pt idx="0">
                  <c:v>Interés</c:v>
                </c:pt>
                <c:pt idx="1">
                  <c:v>Amortización</c:v>
                </c:pt>
                <c:pt idx="2">
                  <c:v>Reparación y mantenimiento</c:v>
                </c:pt>
                <c:pt idx="3">
                  <c:v>Energía calórica (combustible)</c:v>
                </c:pt>
                <c:pt idx="4">
                  <c:v>Electricidad</c:v>
                </c:pt>
                <c:pt idx="5">
                  <c:v>Manipulación</c:v>
                </c:pt>
                <c:pt idx="6">
                  <c:v>Mano de obra</c:v>
                </c:pt>
              </c:strCache>
            </c:strRef>
          </c:cat>
          <c:val>
            <c:numRef>
              <c:f>Calculador!$H$19:$H$25</c:f>
              <c:numCache>
                <c:formatCode>#,##0.00</c:formatCode>
                <c:ptCount val="7"/>
                <c:pt idx="0">
                  <c:v>1.2</c:v>
                </c:pt>
                <c:pt idx="1">
                  <c:v>0.48</c:v>
                </c:pt>
                <c:pt idx="2">
                  <c:v>0.16</c:v>
                </c:pt>
                <c:pt idx="3">
                  <c:v>1.3485098287888386</c:v>
                </c:pt>
                <c:pt idx="4">
                  <c:v>2.3902861122296226</c:v>
                </c:pt>
                <c:pt idx="5">
                  <c:v>0.01</c:v>
                </c:pt>
                <c:pt idx="6">
                  <c:v>3.7499999999999999E-2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3-4113-A790-3DAC8E455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3792426"/>
        <c:axId val="51284139"/>
      </c:barChart>
      <c:catAx>
        <c:axId val="9379242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51284139"/>
        <c:crosses val="autoZero"/>
        <c:auto val="1"/>
        <c:lblAlgn val="ctr"/>
        <c:lblOffset val="100"/>
        <c:noMultiLvlLbl val="0"/>
      </c:catAx>
      <c:valAx>
        <c:axId val="51284139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93792426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AR" sz="1800" b="1" strike="noStrike" spc="-1">
                <a:solidFill>
                  <a:srgbClr val="000000"/>
                </a:solidFill>
                <a:latin typeface="Calibri"/>
              </a:rPr>
              <a:t>Costo por tonelada según escala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Sensibilidad!$E$31</c:f>
              <c:strCache>
                <c:ptCount val="1"/>
                <c:pt idx="0">
                  <c:v>Costo total / t</c:v>
                </c:pt>
              </c:strCache>
            </c:strRef>
          </c:tx>
          <c:spPr>
            <a:ln w="28080">
              <a:solidFill>
                <a:srgbClr val="142D64"/>
              </a:solidFill>
              <a:round/>
            </a:ln>
          </c:spPr>
          <c:marker>
            <c:symbol val="circle"/>
            <c:size val="6"/>
            <c:spPr>
              <a:solidFill>
                <a:srgbClr val="142D64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Sensibilidad!$C$32:$C$40</c:f>
              <c:numCache>
                <c:formatCode>#,##0</c:formatCode>
                <c:ptCount val="9"/>
                <c:pt idx="0">
                  <c:v>2500</c:v>
                </c:pt>
                <c:pt idx="1">
                  <c:v>6250</c:v>
                </c:pt>
                <c:pt idx="2">
                  <c:v>12500</c:v>
                </c:pt>
                <c:pt idx="3">
                  <c:v>18750</c:v>
                </c:pt>
                <c:pt idx="4">
                  <c:v>25000</c:v>
                </c:pt>
                <c:pt idx="5">
                  <c:v>37500</c:v>
                </c:pt>
                <c:pt idx="6">
                  <c:v>50000</c:v>
                </c:pt>
                <c:pt idx="7">
                  <c:v>75000</c:v>
                </c:pt>
                <c:pt idx="8">
                  <c:v>100000</c:v>
                </c:pt>
              </c:numCache>
            </c:numRef>
          </c:cat>
          <c:val>
            <c:numRef>
              <c:f>Sensibilidad!$E$32:$E$40</c:f>
              <c:numCache>
                <c:formatCode>#,##0.00</c:formatCode>
                <c:ptCount val="9"/>
                <c:pt idx="0">
                  <c:v>22.186295941018461</c:v>
                </c:pt>
                <c:pt idx="1">
                  <c:v>11.146295941018462</c:v>
                </c:pt>
                <c:pt idx="2">
                  <c:v>7.4662959410184611</c:v>
                </c:pt>
                <c:pt idx="3">
                  <c:v>6.2396292743517936</c:v>
                </c:pt>
                <c:pt idx="4">
                  <c:v>5.6262959410184612</c:v>
                </c:pt>
                <c:pt idx="5">
                  <c:v>5.012962607685127</c:v>
                </c:pt>
                <c:pt idx="6">
                  <c:v>4.7062959410184613</c:v>
                </c:pt>
                <c:pt idx="7">
                  <c:v>4.3996292743517937</c:v>
                </c:pt>
                <c:pt idx="8">
                  <c:v>4.2462959410184613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21-4B26-B491-4E1737248317}"/>
            </c:ext>
          </c:extLst>
        </c:ser>
        <c:ser>
          <c:idx val="1"/>
          <c:order val="1"/>
          <c:tx>
            <c:strRef>
              <c:f>Sensibilidad!$D$31</c:f>
              <c:strCache>
                <c:ptCount val="1"/>
                <c:pt idx="0">
                  <c:v>Costo fijo / t</c:v>
                </c:pt>
              </c:strCache>
            </c:strRef>
          </c:tx>
          <c:spPr>
            <a:ln w="28080">
              <a:solidFill>
                <a:srgbClr val="6F7D3E"/>
              </a:solidFill>
              <a:round/>
            </a:ln>
          </c:spPr>
          <c:marker>
            <c:symbol val="circle"/>
            <c:size val="6"/>
            <c:spPr>
              <a:solidFill>
                <a:srgbClr val="6F7D3E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Sensibilidad!$C$32:$C$40</c:f>
              <c:numCache>
                <c:formatCode>#,##0</c:formatCode>
                <c:ptCount val="9"/>
                <c:pt idx="0">
                  <c:v>2500</c:v>
                </c:pt>
                <c:pt idx="1">
                  <c:v>6250</c:v>
                </c:pt>
                <c:pt idx="2">
                  <c:v>12500</c:v>
                </c:pt>
                <c:pt idx="3">
                  <c:v>18750</c:v>
                </c:pt>
                <c:pt idx="4">
                  <c:v>25000</c:v>
                </c:pt>
                <c:pt idx="5">
                  <c:v>37500</c:v>
                </c:pt>
                <c:pt idx="6">
                  <c:v>50000</c:v>
                </c:pt>
                <c:pt idx="7">
                  <c:v>75000</c:v>
                </c:pt>
                <c:pt idx="8">
                  <c:v>100000</c:v>
                </c:pt>
              </c:numCache>
            </c:numRef>
          </c:cat>
          <c:val>
            <c:numRef>
              <c:f>Sensibilidad!$D$32:$D$40</c:f>
              <c:numCache>
                <c:formatCode>#,##0.00</c:formatCode>
                <c:ptCount val="9"/>
                <c:pt idx="0">
                  <c:v>18.399999999999999</c:v>
                </c:pt>
                <c:pt idx="1">
                  <c:v>7.36</c:v>
                </c:pt>
                <c:pt idx="2">
                  <c:v>3.68</c:v>
                </c:pt>
                <c:pt idx="3">
                  <c:v>2.4533333333333331</c:v>
                </c:pt>
                <c:pt idx="4">
                  <c:v>1.84</c:v>
                </c:pt>
                <c:pt idx="5">
                  <c:v>1.2266666666666666</c:v>
                </c:pt>
                <c:pt idx="6">
                  <c:v>0.92</c:v>
                </c:pt>
                <c:pt idx="7">
                  <c:v>0.61333333333333329</c:v>
                </c:pt>
                <c:pt idx="8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21-4B26-B491-4E1737248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2017544"/>
        <c:axId val="89414820"/>
      </c:lineChart>
      <c:catAx>
        <c:axId val="1201754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AR" sz="1000" b="1" strike="noStrike" spc="-1">
                    <a:solidFill>
                      <a:srgbClr val="000000"/>
                    </a:solidFill>
                    <a:latin typeface="Calibri"/>
                  </a:rPr>
                  <a:t>Toneladas por año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89414820"/>
        <c:crosses val="autoZero"/>
        <c:auto val="1"/>
        <c:lblAlgn val="ctr"/>
        <c:lblOffset val="100"/>
        <c:noMultiLvlLbl val="0"/>
      </c:catAx>
      <c:valAx>
        <c:axId val="89414820"/>
        <c:scaling>
          <c:orientation val="minMax"/>
        </c:scaling>
        <c:delete val="0"/>
        <c:axPos val="l"/>
        <c:majorGridlines>
          <c:spPr>
            <a:ln w="9360">
              <a:solidFill>
                <a:srgbClr val="E5E7EB"/>
              </a:solidFill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1201754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A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37</xdr:row>
      <xdr:rowOff>0</xdr:rowOff>
    </xdr:from>
    <xdr:to>
      <xdr:col>9</xdr:col>
      <xdr:colOff>872280</xdr:colOff>
      <xdr:row>52</xdr:row>
      <xdr:rowOff>65520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76320</xdr:colOff>
      <xdr:row>1</xdr:row>
      <xdr:rowOff>76320</xdr:rowOff>
    </xdr:from>
    <xdr:to>
      <xdr:col>1</xdr:col>
      <xdr:colOff>2304720</xdr:colOff>
      <xdr:row>2</xdr:row>
      <xdr:rowOff>171360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7440" y="200160"/>
          <a:ext cx="222840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30</xdr:row>
      <xdr:rowOff>0</xdr:rowOff>
    </xdr:from>
    <xdr:to>
      <xdr:col>10</xdr:col>
      <xdr:colOff>93600</xdr:colOff>
      <xdr:row>41</xdr:row>
      <xdr:rowOff>108720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76320</xdr:colOff>
      <xdr:row>1</xdr:row>
      <xdr:rowOff>76320</xdr:rowOff>
    </xdr:from>
    <xdr:to>
      <xdr:col>1</xdr:col>
      <xdr:colOff>2304720</xdr:colOff>
      <xdr:row>2</xdr:row>
      <xdr:rowOff>171360</xdr:rowOff>
    </xdr:to>
    <xdr:pic>
      <xdr:nvPicPr>
        <xdr:cNvPr id="5" name="Image 2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7440" y="200160"/>
          <a:ext cx="222840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76320</xdr:colOff>
      <xdr:row>1</xdr:row>
      <xdr:rowOff>76320</xdr:rowOff>
    </xdr:from>
    <xdr:to>
      <xdr:col>1</xdr:col>
      <xdr:colOff>2304720</xdr:colOff>
      <xdr:row>2</xdr:row>
      <xdr:rowOff>171360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7440" y="200160"/>
          <a:ext cx="222840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76320</xdr:colOff>
      <xdr:row>1</xdr:row>
      <xdr:rowOff>76320</xdr:rowOff>
    </xdr:from>
    <xdr:to>
      <xdr:col>1</xdr:col>
      <xdr:colOff>2304720</xdr:colOff>
      <xdr:row>2</xdr:row>
      <xdr:rowOff>171360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7440" y="200160"/>
          <a:ext cx="222840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showGridLines="0" tabSelected="1" zoomScale="90" zoomScaleNormal="90" workbookViewId="0">
      <selection activeCell="C26" sqref="C26"/>
    </sheetView>
  </sheetViews>
  <sheetFormatPr baseColWidth="10" defaultColWidth="8.6328125" defaultRowHeight="14.5" x14ac:dyDescent="0.35"/>
  <cols>
    <col min="1" max="1" width="2" customWidth="1"/>
    <col min="2" max="2" width="44" customWidth="1"/>
    <col min="3" max="3" width="20" customWidth="1"/>
    <col min="4" max="4" width="24" customWidth="1"/>
    <col min="5" max="5" width="3" customWidth="1"/>
    <col min="6" max="6" width="32" customWidth="1"/>
    <col min="7" max="10" width="15" customWidth="1"/>
    <col min="11" max="11" width="2" customWidth="1"/>
  </cols>
  <sheetData>
    <row r="1" spans="1:11" ht="9.75" customHeight="1" x14ac:dyDescent="0.3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0" customHeight="1" x14ac:dyDescent="0.35">
      <c r="A2" s="15"/>
      <c r="B2" s="15"/>
      <c r="C2" s="94" t="s">
        <v>168</v>
      </c>
      <c r="D2" s="94" t="s">
        <v>169</v>
      </c>
      <c r="E2" s="15"/>
      <c r="F2" s="14" t="s">
        <v>0</v>
      </c>
      <c r="G2" s="14"/>
      <c r="H2" s="14"/>
      <c r="I2" s="14"/>
      <c r="J2" s="14"/>
      <c r="K2" s="15"/>
    </row>
    <row r="3" spans="1:11" ht="19.5" customHeight="1" x14ac:dyDescent="0.35">
      <c r="A3" s="15"/>
      <c r="B3" s="15"/>
      <c r="C3" s="95">
        <v>46289</v>
      </c>
      <c r="D3" s="15"/>
      <c r="E3" s="15"/>
      <c r="F3" s="13" t="s">
        <v>1</v>
      </c>
      <c r="G3" s="13"/>
      <c r="H3" s="13"/>
      <c r="I3" s="13"/>
      <c r="J3" s="13"/>
      <c r="K3" s="15"/>
    </row>
    <row r="4" spans="1:11" ht="9.75" customHeight="1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3.7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9.75" customHeight="1" x14ac:dyDescent="0.35"/>
    <row r="7" spans="1:11" ht="21" customHeight="1" x14ac:dyDescent="0.35">
      <c r="B7" s="12" t="s">
        <v>2</v>
      </c>
      <c r="C7" s="12"/>
      <c r="D7" s="12"/>
      <c r="F7" s="12" t="s">
        <v>3</v>
      </c>
      <c r="G7" s="12"/>
      <c r="H7" s="12"/>
      <c r="I7" s="12"/>
      <c r="J7" s="12"/>
    </row>
    <row r="8" spans="1:11" ht="18.75" customHeight="1" x14ac:dyDescent="0.35">
      <c r="B8" s="20" t="s">
        <v>4</v>
      </c>
      <c r="C8" s="11" t="s">
        <v>134</v>
      </c>
      <c r="D8" s="11"/>
      <c r="F8" s="21" t="s">
        <v>6</v>
      </c>
      <c r="G8" s="10" t="s">
        <v>7</v>
      </c>
      <c r="H8" s="10"/>
      <c r="I8" s="10" t="s">
        <v>8</v>
      </c>
      <c r="J8" s="10"/>
    </row>
    <row r="9" spans="1:11" ht="18.75" customHeight="1" x14ac:dyDescent="0.35">
      <c r="B9" s="20" t="s">
        <v>9</v>
      </c>
      <c r="C9" s="11" t="s">
        <v>128</v>
      </c>
      <c r="D9" s="11"/>
      <c r="F9" s="9">
        <f>H26</f>
        <v>5.6262959410184603</v>
      </c>
      <c r="G9" s="8">
        <f>I26</f>
        <v>1.6075131260052744</v>
      </c>
      <c r="H9" s="8"/>
      <c r="I9" s="7">
        <f>G26</f>
        <v>140657.39852546153</v>
      </c>
      <c r="J9" s="7"/>
    </row>
    <row r="10" spans="1:11" ht="18.75" customHeight="1" x14ac:dyDescent="0.35">
      <c r="B10" s="20" t="s">
        <v>11</v>
      </c>
      <c r="C10" s="11" t="s">
        <v>147</v>
      </c>
      <c r="D10" s="11"/>
      <c r="F10" s="9"/>
      <c r="G10" s="8"/>
      <c r="H10" s="8"/>
      <c r="I10" s="7"/>
      <c r="J10" s="7"/>
    </row>
    <row r="11" spans="1:11" ht="18.75" customHeight="1" x14ac:dyDescent="0.35">
      <c r="B11" s="20" t="s">
        <v>13</v>
      </c>
      <c r="C11" s="11" t="s">
        <v>148</v>
      </c>
      <c r="D11" s="11"/>
      <c r="F11" s="22" t="str">
        <f>$C$10&amp;"/t"</f>
        <v>USD/t</v>
      </c>
      <c r="G11" s="6" t="str">
        <f>$C$10&amp;"/punto·t"</f>
        <v>USD/punto·t</v>
      </c>
      <c r="H11" s="6"/>
      <c r="I11" s="6" t="str">
        <f>$C$10&amp;"/año"</f>
        <v>USD/año</v>
      </c>
      <c r="J11" s="6"/>
    </row>
    <row r="12" spans="1:11" ht="18.75" customHeight="1" x14ac:dyDescent="0.35">
      <c r="B12" s="5" t="s">
        <v>15</v>
      </c>
      <c r="C12" s="5"/>
      <c r="D12" s="5"/>
      <c r="F12" s="4" t="str">
        <f>IF(C22&lt;=C23,"Revisar: la humedad final debe ser menor que la inicial",IF(C24&lt;=0,"Revisar: ingrese las toneladas anuales",IF(C20&lt;=0,"Revisar: ingrese la capacidad de secado",IF(C26&lt;=0,"Revisar: la vida útil debe ser mayor que cero","Datos consistentes"))))</f>
        <v>Datos consistentes</v>
      </c>
      <c r="G12" s="4"/>
      <c r="H12" s="4"/>
      <c r="I12" s="4"/>
      <c r="J12" s="4"/>
    </row>
    <row r="13" spans="1:11" x14ac:dyDescent="0.35">
      <c r="F13" s="3" t="str">
        <f>"Valores en "&amp;C10&amp;" · energía calculada por tonelada de grano húmedo (humedad inicial)"</f>
        <v>Valores en USD · energía calculada por tonelada de grano húmedo (humedad inicial)</v>
      </c>
      <c r="G13" s="3"/>
      <c r="H13" s="3"/>
      <c r="I13" s="3"/>
      <c r="J13" s="3"/>
    </row>
    <row r="14" spans="1:11" ht="21" customHeight="1" x14ac:dyDescent="0.35">
      <c r="B14" s="12" t="s">
        <v>16</v>
      </c>
      <c r="C14" s="12"/>
      <c r="D14" s="12"/>
      <c r="F14" s="24" t="s">
        <v>17</v>
      </c>
      <c r="G14" s="25" t="s">
        <v>18</v>
      </c>
      <c r="H14" s="25" t="s">
        <v>19</v>
      </c>
      <c r="I14" s="25" t="s">
        <v>20</v>
      </c>
      <c r="J14" s="25" t="s">
        <v>21</v>
      </c>
    </row>
    <row r="15" spans="1:11" ht="18" customHeight="1" x14ac:dyDescent="0.35">
      <c r="B15" s="20" t="s">
        <v>22</v>
      </c>
      <c r="C15" s="26">
        <v>0.28000000000000003</v>
      </c>
      <c r="D15" s="27" t="str">
        <f>$C$10&amp;"/"&amp;$C$35</f>
        <v>USD/m³</v>
      </c>
      <c r="F15" s="23" t="s">
        <v>23</v>
      </c>
      <c r="G15" s="28" t="s">
        <v>24</v>
      </c>
      <c r="H15" s="28" t="str">
        <f>$C$35&amp;"/t"</f>
        <v>m³/t</v>
      </c>
      <c r="I15" s="28" t="s">
        <v>25</v>
      </c>
      <c r="J15" s="28" t="s">
        <v>26</v>
      </c>
    </row>
    <row r="16" spans="1:11" ht="18" customHeight="1" x14ac:dyDescent="0.35">
      <c r="B16" s="20" t="s">
        <v>27</v>
      </c>
      <c r="C16" s="26">
        <v>0.12</v>
      </c>
      <c r="D16" s="27" t="str">
        <f>$C$10&amp;"/kWh"</f>
        <v>USD/kWh</v>
      </c>
      <c r="F16" s="20"/>
      <c r="G16" s="29">
        <f>C33*C32*J16/Parámetros!$D$23</f>
        <v>19.919050935246855</v>
      </c>
      <c r="H16" s="29">
        <f>IF(C34&gt;0,(1-C33)*C32*J16/C34,0)</f>
        <v>4.8161065313887086</v>
      </c>
      <c r="I16" s="30">
        <f>IF(C22&gt;C23,(G16*Parámetros!$D$23+H16*C34)/((C22-C23)*100),0)</f>
        <v>16315.789473684195</v>
      </c>
      <c r="J16" s="29">
        <f>MAX(0,(C22-C23*(1-C22)/(1-C23))*1000)</f>
        <v>40.935672514619853</v>
      </c>
    </row>
    <row r="17" spans="2:10" ht="18" customHeight="1" x14ac:dyDescent="0.35">
      <c r="B17" s="20" t="s">
        <v>28</v>
      </c>
      <c r="C17" s="31">
        <v>0.12</v>
      </c>
      <c r="D17" s="27" t="s">
        <v>29</v>
      </c>
    </row>
    <row r="18" spans="2:10" ht="18" customHeight="1" x14ac:dyDescent="0.35">
      <c r="B18" s="20" t="s">
        <v>30</v>
      </c>
      <c r="C18" s="26">
        <v>10</v>
      </c>
      <c r="D18" s="27" t="str">
        <f>$C$10&amp;"/h"</f>
        <v>USD/h</v>
      </c>
      <c r="F18" s="24" t="s">
        <v>31</v>
      </c>
      <c r="G18" s="25" t="s">
        <v>32</v>
      </c>
      <c r="H18" s="25" t="s">
        <v>33</v>
      </c>
      <c r="I18" s="25" t="s">
        <v>34</v>
      </c>
      <c r="J18" s="25" t="s">
        <v>35</v>
      </c>
    </row>
    <row r="19" spans="2:10" ht="18" customHeight="1" x14ac:dyDescent="0.35">
      <c r="B19" s="20" t="s">
        <v>36</v>
      </c>
      <c r="C19" s="32">
        <v>0.3</v>
      </c>
      <c r="D19" s="27" t="s">
        <v>37</v>
      </c>
      <c r="F19" s="33" t="s">
        <v>38</v>
      </c>
      <c r="G19" s="34">
        <f t="shared" ref="G19:G25" si="0">H19*$C$24</f>
        <v>30000</v>
      </c>
      <c r="H19" s="35">
        <f>IF(C24&gt;0,C25*C17*IF(C11="Inversión promedio",(1+C27)/2,1)/C24,0)</f>
        <v>1.2</v>
      </c>
      <c r="I19" s="36">
        <f t="shared" ref="I19:I25" si="1">IF($C$22&gt;$C$23,H19/(($C$22-$C$23)*100),0)</f>
        <v>0.3428571428571428</v>
      </c>
      <c r="J19" s="37">
        <f t="shared" ref="J19:J25" si="2">IF($H$26&gt;0,H19/$H$26,0)</f>
        <v>0.21328419489124464</v>
      </c>
    </row>
    <row r="20" spans="2:10" ht="18" customHeight="1" x14ac:dyDescent="0.35">
      <c r="B20" s="20" t="s">
        <v>39</v>
      </c>
      <c r="C20" s="38">
        <v>80</v>
      </c>
      <c r="D20" s="27" t="s">
        <v>40</v>
      </c>
      <c r="F20" s="33" t="s">
        <v>41</v>
      </c>
      <c r="G20" s="34">
        <f t="shared" si="0"/>
        <v>12000</v>
      </c>
      <c r="H20" s="35">
        <f>IF(AND(C24&gt;0,C26&gt;0),C25*(1-C27)/C26/C24,0)</f>
        <v>0.48</v>
      </c>
      <c r="I20" s="36">
        <f t="shared" si="1"/>
        <v>0.13714285714285712</v>
      </c>
      <c r="J20" s="37">
        <f t="shared" si="2"/>
        <v>8.5313677956497858E-2</v>
      </c>
    </row>
    <row r="21" spans="2:10" ht="18" customHeight="1" x14ac:dyDescent="0.35">
      <c r="B21" s="20" t="s">
        <v>42</v>
      </c>
      <c r="C21" s="39">
        <v>0</v>
      </c>
      <c r="D21" s="27" t="s">
        <v>165</v>
      </c>
      <c r="F21" s="33" t="s">
        <v>43</v>
      </c>
      <c r="G21" s="34">
        <f t="shared" si="0"/>
        <v>4000</v>
      </c>
      <c r="H21" s="35">
        <f>IF(C24&gt;0,C25*C28/C24,0)</f>
        <v>0.16</v>
      </c>
      <c r="I21" s="36">
        <f t="shared" si="1"/>
        <v>4.5714285714285707E-2</v>
      </c>
      <c r="J21" s="37">
        <f t="shared" si="2"/>
        <v>2.8437892652165953E-2</v>
      </c>
    </row>
    <row r="22" spans="2:10" ht="18" customHeight="1" x14ac:dyDescent="0.35">
      <c r="B22" s="20" t="s">
        <v>44</v>
      </c>
      <c r="C22" s="31">
        <v>0.18</v>
      </c>
      <c r="D22" s="27" t="s">
        <v>45</v>
      </c>
      <c r="F22" s="33" t="s">
        <v>46</v>
      </c>
      <c r="G22" s="34">
        <f t="shared" si="0"/>
        <v>33712.745719720966</v>
      </c>
      <c r="H22" s="35">
        <f>H16*C15</f>
        <v>1.3485098287888386</v>
      </c>
      <c r="I22" s="36">
        <f t="shared" si="1"/>
        <v>0.38528852251109669</v>
      </c>
      <c r="J22" s="37">
        <f t="shared" si="2"/>
        <v>0.23967986094679802</v>
      </c>
    </row>
    <row r="23" spans="2:10" ht="18" customHeight="1" x14ac:dyDescent="0.35">
      <c r="B23" s="20" t="s">
        <v>47</v>
      </c>
      <c r="C23" s="31">
        <v>0.14499999999999999</v>
      </c>
      <c r="D23" s="27" t="s">
        <v>45</v>
      </c>
      <c r="F23" s="33" t="s">
        <v>18</v>
      </c>
      <c r="G23" s="34">
        <f t="shared" si="0"/>
        <v>59757.152805740567</v>
      </c>
      <c r="H23" s="35">
        <f>G16*C16</f>
        <v>2.3902861122296226</v>
      </c>
      <c r="I23" s="36">
        <f t="shared" si="1"/>
        <v>0.68293888920846357</v>
      </c>
      <c r="J23" s="37">
        <f t="shared" si="2"/>
        <v>0.42484187417218194</v>
      </c>
    </row>
    <row r="24" spans="2:10" ht="18" customHeight="1" x14ac:dyDescent="0.35">
      <c r="B24" s="20" t="s">
        <v>48</v>
      </c>
      <c r="C24" s="40">
        <v>25000</v>
      </c>
      <c r="D24" s="27" t="s">
        <v>49</v>
      </c>
      <c r="F24" s="33" t="s">
        <v>50</v>
      </c>
      <c r="G24" s="34">
        <f t="shared" si="0"/>
        <v>250</v>
      </c>
      <c r="H24" s="35">
        <f>C29</f>
        <v>0.01</v>
      </c>
      <c r="I24" s="36">
        <f t="shared" si="1"/>
        <v>2.8571428571428567E-3</v>
      </c>
      <c r="J24" s="37">
        <f t="shared" si="2"/>
        <v>1.777368290760372E-3</v>
      </c>
    </row>
    <row r="25" spans="2:10" ht="18" customHeight="1" x14ac:dyDescent="0.35">
      <c r="B25" s="20" t="s">
        <v>51</v>
      </c>
      <c r="C25" s="40">
        <v>400000</v>
      </c>
      <c r="D25" s="27" t="str">
        <f>$C$10</f>
        <v>USD</v>
      </c>
      <c r="F25" s="33" t="s">
        <v>52</v>
      </c>
      <c r="G25" s="34">
        <f t="shared" si="0"/>
        <v>937.5</v>
      </c>
      <c r="H25" s="35">
        <f>IF(G33&gt;0,C18*C19/G33,0)</f>
        <v>3.7499999999999999E-2</v>
      </c>
      <c r="I25" s="36">
        <f t="shared" si="1"/>
        <v>1.0714285714285713E-2</v>
      </c>
      <c r="J25" s="37">
        <f t="shared" si="2"/>
        <v>6.6651310903513951E-3</v>
      </c>
    </row>
    <row r="26" spans="2:10" ht="19.5" customHeight="1" x14ac:dyDescent="0.35">
      <c r="B26" s="20" t="s">
        <v>53</v>
      </c>
      <c r="C26" s="41">
        <v>25</v>
      </c>
      <c r="D26" s="27" t="s">
        <v>54</v>
      </c>
      <c r="F26" s="42" t="s">
        <v>55</v>
      </c>
      <c r="G26" s="43">
        <f>SUM(G19:G25)</f>
        <v>140657.39852546153</v>
      </c>
      <c r="H26" s="44">
        <f>SUM(H19:H25)</f>
        <v>5.6262959410184603</v>
      </c>
      <c r="I26" s="45">
        <f>SUM(I19:I25)</f>
        <v>1.6075131260052744</v>
      </c>
      <c r="J26" s="46">
        <f>SUM(J19:J25)</f>
        <v>1.0000000000000002</v>
      </c>
    </row>
    <row r="27" spans="2:10" ht="18" customHeight="1" x14ac:dyDescent="0.35">
      <c r="B27" s="20" t="s">
        <v>56</v>
      </c>
      <c r="C27" s="31">
        <v>0.25</v>
      </c>
      <c r="D27" s="27" t="s">
        <v>57</v>
      </c>
      <c r="F27" s="23" t="s">
        <v>58</v>
      </c>
      <c r="G27" s="47">
        <f>SUM(G19:G21)</f>
        <v>46000</v>
      </c>
      <c r="H27" s="48">
        <f>SUM(H19:H21)</f>
        <v>1.8399999999999999</v>
      </c>
      <c r="I27" s="49">
        <f>SUM(I19:I21)</f>
        <v>0.52571428571428558</v>
      </c>
      <c r="J27" s="50">
        <f>SUM(J19:J21)</f>
        <v>0.32703576549990848</v>
      </c>
    </row>
    <row r="28" spans="2:10" ht="18" customHeight="1" x14ac:dyDescent="0.35">
      <c r="B28" s="20" t="s">
        <v>43</v>
      </c>
      <c r="C28" s="31">
        <v>0.01</v>
      </c>
      <c r="D28" s="27" t="s">
        <v>59</v>
      </c>
      <c r="F28" s="23" t="s">
        <v>60</v>
      </c>
      <c r="G28" s="47">
        <f>SUM(G22:G25)</f>
        <v>94657.398525461525</v>
      </c>
      <c r="H28" s="48">
        <f>SUM(H22:H25)</f>
        <v>3.7862959410184609</v>
      </c>
      <c r="I28" s="49">
        <f>SUM(I22:I25)</f>
        <v>1.0817988402909888</v>
      </c>
      <c r="J28" s="50">
        <f>SUM(J22:J25)</f>
        <v>0.67296423450009168</v>
      </c>
    </row>
    <row r="29" spans="2:10" ht="18" customHeight="1" x14ac:dyDescent="0.35">
      <c r="B29" s="20" t="s">
        <v>61</v>
      </c>
      <c r="C29" s="26">
        <v>0.01</v>
      </c>
      <c r="D29" s="27" t="str">
        <f>$C$10&amp;"/t"</f>
        <v>USD/t</v>
      </c>
      <c r="F29" s="2" t="s">
        <v>62</v>
      </c>
      <c r="G29" s="2"/>
      <c r="H29" s="2"/>
      <c r="I29" s="2"/>
      <c r="J29" s="2"/>
    </row>
    <row r="30" spans="2:10" ht="18" customHeight="1" x14ac:dyDescent="0.35"/>
    <row r="31" spans="2:10" ht="21" customHeight="1" x14ac:dyDescent="0.35">
      <c r="B31" s="1" t="s">
        <v>63</v>
      </c>
      <c r="C31" s="1"/>
      <c r="D31" s="1"/>
      <c r="F31" s="24" t="s">
        <v>64</v>
      </c>
      <c r="G31" s="25" t="s">
        <v>65</v>
      </c>
      <c r="H31" s="24" t="s">
        <v>66</v>
      </c>
      <c r="I31" s="52"/>
      <c r="J31" s="52"/>
    </row>
    <row r="32" spans="2:10" ht="18" customHeight="1" x14ac:dyDescent="0.35">
      <c r="B32" s="20" t="s">
        <v>67</v>
      </c>
      <c r="C32" s="53">
        <f>INDEX(Parámetros!$C$15:$C$20,MATCH($C$8,Parámetros!$B$15:$B$20,0))</f>
        <v>1395</v>
      </c>
      <c r="D32" s="27" t="s">
        <v>68</v>
      </c>
      <c r="F32" s="33" t="s">
        <v>69</v>
      </c>
      <c r="G32" s="54">
        <f>MAX(0,(C22-C23)*100)</f>
        <v>3.5000000000000004</v>
      </c>
      <c r="H32" s="55" t="s">
        <v>70</v>
      </c>
      <c r="I32" s="56"/>
      <c r="J32" s="56"/>
    </row>
    <row r="33" spans="2:10" ht="18" customHeight="1" x14ac:dyDescent="0.35">
      <c r="B33" s="20" t="s">
        <v>71</v>
      </c>
      <c r="C33" s="57">
        <f>INDEX(Parámetros!$D$15:$D$20,MATCH($C$8,Parámetros!$B$15:$B$20,0))</f>
        <v>0.3</v>
      </c>
      <c r="D33" s="27" t="s">
        <v>72</v>
      </c>
      <c r="F33" s="33" t="s">
        <v>73</v>
      </c>
      <c r="G33" s="58">
        <f>IF(AND(C21&gt;0,C22&gt;C23),C20*C21/((C22-C23)*100),C20)</f>
        <v>80</v>
      </c>
      <c r="H33" s="55" t="s">
        <v>74</v>
      </c>
      <c r="I33" s="56"/>
      <c r="J33" s="56"/>
    </row>
    <row r="34" spans="2:10" ht="18" customHeight="1" x14ac:dyDescent="0.35">
      <c r="B34" s="20" t="s">
        <v>75</v>
      </c>
      <c r="C34" s="59">
        <f>INDEX(Parámetros!$D$9:$D$11,MATCH($C$9,Parámetros!$B$9:$B$11,0))</f>
        <v>8300</v>
      </c>
      <c r="D34" s="27" t="s">
        <v>76</v>
      </c>
      <c r="F34" s="33" t="s">
        <v>77</v>
      </c>
      <c r="G34" s="60">
        <f>IF(G33&gt;0,C24/G33,0)</f>
        <v>312.5</v>
      </c>
      <c r="H34" s="55" t="s">
        <v>78</v>
      </c>
      <c r="I34" s="56"/>
      <c r="J34" s="56"/>
    </row>
    <row r="35" spans="2:10" ht="18" customHeight="1" x14ac:dyDescent="0.35">
      <c r="B35" s="20" t="s">
        <v>79</v>
      </c>
      <c r="C35" s="61" t="str">
        <f>INDEX(Parámetros!$C$9:$C$11,MATCH($C$9,Parámetros!$B$9:$B$11,0))</f>
        <v>m³</v>
      </c>
      <c r="D35" s="27"/>
      <c r="F35" s="33" t="s">
        <v>80</v>
      </c>
      <c r="G35" s="60">
        <f>H16*C24</f>
        <v>120402.66328471771</v>
      </c>
      <c r="H35" s="55" t="str">
        <f>C35&amp;"/año"</f>
        <v>m³/año</v>
      </c>
      <c r="I35" s="56"/>
      <c r="J35" s="56"/>
    </row>
    <row r="36" spans="2:10" ht="18" customHeight="1" x14ac:dyDescent="0.35">
      <c r="F36" s="33" t="s">
        <v>81</v>
      </c>
      <c r="G36" s="60">
        <f>G16*C24</f>
        <v>497976.27338117134</v>
      </c>
      <c r="H36" s="55" t="s">
        <v>82</v>
      </c>
      <c r="I36" s="56"/>
      <c r="J36" s="56"/>
    </row>
    <row r="37" spans="2:10" ht="21" customHeight="1" x14ac:dyDescent="0.35">
      <c r="B37" s="1" t="s">
        <v>83</v>
      </c>
      <c r="C37" s="1"/>
      <c r="D37" s="1"/>
    </row>
    <row r="38" spans="2:10" ht="15.75" customHeight="1" x14ac:dyDescent="0.35">
      <c r="B38" s="87" t="s">
        <v>84</v>
      </c>
      <c r="C38" s="87"/>
      <c r="D38" s="87"/>
    </row>
    <row r="39" spans="2:10" ht="15.75" customHeight="1" x14ac:dyDescent="0.35">
      <c r="B39" s="87" t="s">
        <v>85</v>
      </c>
      <c r="C39" s="87"/>
      <c r="D39" s="87"/>
    </row>
    <row r="40" spans="2:10" ht="15.75" customHeight="1" x14ac:dyDescent="0.35">
      <c r="B40" s="87" t="s">
        <v>86</v>
      </c>
      <c r="C40" s="87"/>
      <c r="D40" s="87"/>
    </row>
    <row r="56" spans="2:10" x14ac:dyDescent="0.35">
      <c r="B56" s="88" t="s">
        <v>87</v>
      </c>
      <c r="C56" s="88"/>
      <c r="D56" s="88"/>
      <c r="E56" s="88"/>
      <c r="F56" s="88"/>
      <c r="G56" s="88"/>
      <c r="H56" s="88"/>
      <c r="I56" s="88"/>
      <c r="J56" s="88"/>
    </row>
  </sheetData>
  <sheetProtection sheet="1"/>
  <mergeCells count="26">
    <mergeCell ref="B38:D38"/>
    <mergeCell ref="B39:D39"/>
    <mergeCell ref="B40:D40"/>
    <mergeCell ref="B56:J56"/>
    <mergeCell ref="F13:J13"/>
    <mergeCell ref="B14:D14"/>
    <mergeCell ref="F29:J29"/>
    <mergeCell ref="B31:D31"/>
    <mergeCell ref="B37:D37"/>
    <mergeCell ref="C11:D11"/>
    <mergeCell ref="G11:H11"/>
    <mergeCell ref="I11:J11"/>
    <mergeCell ref="B12:D12"/>
    <mergeCell ref="F12:J12"/>
    <mergeCell ref="C9:D9"/>
    <mergeCell ref="F9:F10"/>
    <mergeCell ref="G9:H10"/>
    <mergeCell ref="I9:J10"/>
    <mergeCell ref="C10:D10"/>
    <mergeCell ref="F2:J2"/>
    <mergeCell ref="F3:J3"/>
    <mergeCell ref="B7:D7"/>
    <mergeCell ref="F7:J7"/>
    <mergeCell ref="C8:D8"/>
    <mergeCell ref="G8:H8"/>
    <mergeCell ref="I8:J8"/>
  </mergeCells>
  <conditionalFormatting sqref="F12:J12">
    <cfRule type="expression" dxfId="2" priority="2">
      <formula>LEFT($F$12,7)="Revisar"</formula>
    </cfRule>
  </conditionalFormatting>
  <dataValidations count="4">
    <dataValidation type="decimal" operator="greaterThanOrEqual" showErrorMessage="1" errorTitle="Valor no válido" error="Ingrese un valor mayor o igual a 0." sqref="C15:C16 C18 C20:C21 C24:C25 C29" xr:uid="{00000000-0002-0000-0000-000004000000}">
      <formula1>0</formula1>
      <formula2>0</formula2>
    </dataValidation>
    <dataValidation type="decimal" showErrorMessage="1" errorTitle="Valor no válido" error="Ingrese un porcentaje entre 0% y 100%." sqref="C17 C19 C27:C28" xr:uid="{00000000-0002-0000-0000-000005000000}">
      <formula1>0</formula1>
      <formula2>1</formula2>
    </dataValidation>
    <dataValidation type="decimal" showErrorMessage="1" errorTitle="Valor no válido" error="Ingrese una humedad entre 0% y 60%." sqref="C22:C23" xr:uid="{00000000-0002-0000-0000-000006000000}">
      <formula1>0</formula1>
      <formula2>0.6</formula2>
    </dataValidation>
    <dataValidation type="decimal" operator="greaterThanOrEqual" showErrorMessage="1" errorTitle="Valor no válido" error="La vida útil debe ser de 1 año o más." sqref="C26" xr:uid="{00000000-0002-0000-0000-000007000000}">
      <formula1>1</formula1>
      <formula2>0</formula2>
    </dataValidation>
  </dataValidations>
  <hyperlinks>
    <hyperlink ref="B12" location="'Parámetros'!C20" display="Para el sistema 6, cargue su requerimiento energético en la hoja Parámetros ›" xr:uid="{00000000-0004-0000-0000-000000000000}"/>
  </hyperlinks>
  <printOptions horizontalCentered="1"/>
  <pageMargins left="0.4" right="0.4" top="0.5" bottom="0.5" header="0.511811023622047" footer="0.5"/>
  <pageSetup paperSize="9" fitToHeight="0" orientation="landscape" horizontalDpi="300" verticalDpi="300" r:id="rId1"/>
  <headerFooter>
    <oddFooter>&amp;C&amp;8 Ascariscer · Investigación y Desarrollo</oddFooter>
  </headerFooter>
  <rowBreaks count="1" manualBreakCount="1">
    <brk id="3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ErrorMessage="1" errorTitle="Valor no válido" error="Elija un sistema de la lista." xr:uid="{00000000-0002-0000-0000-000000000000}">
          <x14:formula1>
            <xm:f>Parámetros!$B$15:$B$20</xm:f>
          </x14:formula1>
          <x14:formula2>
            <xm:f>0</xm:f>
          </x14:formula2>
          <xm:sqref>C8</xm:sqref>
        </x14:dataValidation>
        <x14:dataValidation type="list" showErrorMessage="1" errorTitle="Valor no válido" error="Elija un combustible de la lista." xr:uid="{00000000-0002-0000-0000-000001000000}">
          <x14:formula1>
            <xm:f>Parámetros!$B$9:$B$11</xm:f>
          </x14:formula1>
          <x14:formula2>
            <xm:f>0</xm:f>
          </x14:formula2>
          <xm:sqref>C9</xm:sqref>
        </x14:dataValidation>
        <x14:dataValidation type="list" showErrorMessage="1" errorTitle="Valor no válido" error="Elija ARS o USD." xr:uid="{00000000-0002-0000-0000-000002000000}">
          <x14:formula1>
            <xm:f>Parámetros!$B$27:$B$28</xm:f>
          </x14:formula1>
          <x14:formula2>
            <xm:f>0</xm:f>
          </x14:formula2>
          <xm:sqref>C10</xm:sqref>
        </x14:dataValidation>
        <x14:dataValidation type="list" showErrorMessage="1" errorTitle="Valor no válido" error="Elija un método de la lista." xr:uid="{00000000-0002-0000-0000-000003000000}">
          <x14:formula1>
            <xm:f>Parámetros!$D$27:$D$28</xm:f>
          </x14:formula1>
          <x14:formula2>
            <xm:f>0</xm:f>
          </x14:formula2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2"/>
  <sheetViews>
    <sheetView showGridLines="0" zoomScaleNormal="100" workbookViewId="0">
      <selection activeCell="C2" sqref="C2:I2"/>
    </sheetView>
  </sheetViews>
  <sheetFormatPr baseColWidth="10" defaultColWidth="8.6328125" defaultRowHeight="14.5" x14ac:dyDescent="0.35"/>
  <cols>
    <col min="1" max="1" width="2" customWidth="1"/>
    <col min="2" max="2" width="44" customWidth="1"/>
    <col min="3" max="9" width="15" customWidth="1"/>
    <col min="10" max="10" width="2" customWidth="1"/>
  </cols>
  <sheetData>
    <row r="1" spans="1:10" ht="9.75" customHeight="1" x14ac:dyDescent="0.3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35">
      <c r="A2" s="15"/>
      <c r="B2" s="15"/>
      <c r="C2" s="14" t="s">
        <v>92</v>
      </c>
      <c r="D2" s="14"/>
      <c r="E2" s="14"/>
      <c r="F2" s="14"/>
      <c r="G2" s="14"/>
      <c r="H2" s="14"/>
      <c r="I2" s="14"/>
      <c r="J2" s="15"/>
    </row>
    <row r="3" spans="1:10" ht="19.5" customHeight="1" x14ac:dyDescent="0.35">
      <c r="A3" s="15"/>
      <c r="B3" s="15"/>
      <c r="C3" s="13" t="s">
        <v>1</v>
      </c>
      <c r="D3" s="13"/>
      <c r="E3" s="13"/>
      <c r="F3" s="13"/>
      <c r="G3" s="13"/>
      <c r="H3" s="13"/>
      <c r="I3" s="13"/>
      <c r="J3" s="15"/>
    </row>
    <row r="4" spans="1:10" ht="9.75" customHeight="1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3.7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9.75" customHeight="1" x14ac:dyDescent="0.35"/>
    <row r="7" spans="1:10" ht="21" customHeight="1" x14ac:dyDescent="0.35">
      <c r="B7" s="12" t="s">
        <v>93</v>
      </c>
      <c r="C7" s="12"/>
      <c r="D7" s="12"/>
      <c r="E7" s="12"/>
      <c r="F7" s="12"/>
      <c r="G7" s="12"/>
      <c r="H7" s="12"/>
      <c r="I7" s="12"/>
    </row>
    <row r="8" spans="1:10" x14ac:dyDescent="0.35">
      <c r="B8" s="3" t="str">
        <f>"Todas las tablas parten de los datos del Calculador · Valores en "&amp;Calculador!C10&amp;"/t · Los encabezados verdes se pueden editar"</f>
        <v>Todas las tablas parten de los datos del Calculador · Valores en USD/t · Los encabezados verdes se pueden editar</v>
      </c>
      <c r="C8" s="3"/>
      <c r="D8" s="3"/>
      <c r="E8" s="3"/>
      <c r="F8" s="3"/>
      <c r="G8" s="3"/>
      <c r="H8" s="3"/>
      <c r="I8" s="3"/>
    </row>
    <row r="10" spans="1:10" x14ac:dyDescent="0.35">
      <c r="B10" s="64" t="s">
        <v>94</v>
      </c>
    </row>
    <row r="11" spans="1:10" x14ac:dyDescent="0.35">
      <c r="B11" s="65" t="s">
        <v>95</v>
      </c>
      <c r="C11" s="25" t="s">
        <v>96</v>
      </c>
      <c r="D11" s="66">
        <v>2</v>
      </c>
      <c r="E11" s="66">
        <v>4</v>
      </c>
      <c r="F11" s="66">
        <v>6</v>
      </c>
      <c r="G11" s="66">
        <v>8</v>
      </c>
      <c r="H11" s="66">
        <v>10</v>
      </c>
      <c r="I11" s="66">
        <v>12</v>
      </c>
    </row>
    <row r="12" spans="1:10" ht="18" customHeight="1" x14ac:dyDescent="0.35">
      <c r="B12" s="67">
        <v>0.05</v>
      </c>
      <c r="C12" s="68">
        <f t="shared" ref="C12:C17" si="0">B12*$C$70</f>
        <v>1.4000000000000002E-2</v>
      </c>
      <c r="D12" s="62">
        <f t="shared" ref="D12:I17" si="1">IF(D$11&lt;=0,0,$C$62+$C$64+IF($C$66&lt;=0,0,$C$65/IF($C$67&gt;0,$C$66*$C$67/D$11,$C$66))+($C$68*$C12+$C$69*$C$71)*(10*D$11/(1-$C$72)))</f>
        <v>3.2919066306680378</v>
      </c>
      <c r="E12" s="62">
        <f t="shared" si="1"/>
        <v>4.6963132613360754</v>
      </c>
      <c r="F12" s="62">
        <f t="shared" si="1"/>
        <v>6.1007198920041139</v>
      </c>
      <c r="G12" s="62">
        <f t="shared" si="1"/>
        <v>7.5051265226721515</v>
      </c>
      <c r="H12" s="62">
        <f t="shared" si="1"/>
        <v>8.9095331533401882</v>
      </c>
      <c r="I12" s="62">
        <f t="shared" si="1"/>
        <v>10.313939784008227</v>
      </c>
    </row>
    <row r="13" spans="1:10" ht="18" customHeight="1" x14ac:dyDescent="0.35">
      <c r="B13" s="67">
        <v>0.1</v>
      </c>
      <c r="C13" s="68">
        <f t="shared" si="0"/>
        <v>2.8000000000000004E-2</v>
      </c>
      <c r="D13" s="62">
        <f t="shared" si="1"/>
        <v>3.3304354829191474</v>
      </c>
      <c r="E13" s="62">
        <f t="shared" si="1"/>
        <v>4.7733709658382946</v>
      </c>
      <c r="F13" s="62">
        <f t="shared" si="1"/>
        <v>6.2163064487574431</v>
      </c>
      <c r="G13" s="62">
        <f t="shared" si="1"/>
        <v>7.6592419316765898</v>
      </c>
      <c r="H13" s="62">
        <f t="shared" si="1"/>
        <v>9.1021774145957366</v>
      </c>
      <c r="I13" s="62">
        <f t="shared" si="1"/>
        <v>10.545112897514885</v>
      </c>
    </row>
    <row r="14" spans="1:10" ht="18" customHeight="1" x14ac:dyDescent="0.35">
      <c r="B14" s="67">
        <v>0.15</v>
      </c>
      <c r="C14" s="68">
        <f t="shared" si="0"/>
        <v>4.2000000000000003E-2</v>
      </c>
      <c r="D14" s="62">
        <f t="shared" si="1"/>
        <v>3.368964335170257</v>
      </c>
      <c r="E14" s="62">
        <f t="shared" si="1"/>
        <v>4.8504286703405146</v>
      </c>
      <c r="F14" s="62">
        <f t="shared" si="1"/>
        <v>6.3318930055107723</v>
      </c>
      <c r="G14" s="62">
        <f t="shared" si="1"/>
        <v>7.8133573406810291</v>
      </c>
      <c r="H14" s="62">
        <f t="shared" si="1"/>
        <v>9.2948216758512867</v>
      </c>
      <c r="I14" s="62">
        <f t="shared" si="1"/>
        <v>10.776286011021543</v>
      </c>
    </row>
    <row r="15" spans="1:10" ht="18" customHeight="1" x14ac:dyDescent="0.35">
      <c r="B15" s="67">
        <v>0.2</v>
      </c>
      <c r="C15" s="68">
        <f t="shared" si="0"/>
        <v>5.6000000000000008E-2</v>
      </c>
      <c r="D15" s="62">
        <f t="shared" si="1"/>
        <v>3.407493187421367</v>
      </c>
      <c r="E15" s="62">
        <f t="shared" si="1"/>
        <v>4.9274863748427338</v>
      </c>
      <c r="F15" s="62">
        <f t="shared" si="1"/>
        <v>6.4474795622641006</v>
      </c>
      <c r="G15" s="62">
        <f t="shared" si="1"/>
        <v>7.9674727496854674</v>
      </c>
      <c r="H15" s="62">
        <f t="shared" si="1"/>
        <v>9.4874659371068333</v>
      </c>
      <c r="I15" s="62">
        <f t="shared" si="1"/>
        <v>11.0074591245282</v>
      </c>
    </row>
    <row r="16" spans="1:10" ht="18" customHeight="1" x14ac:dyDescent="0.35">
      <c r="B16" s="67">
        <v>0.25</v>
      </c>
      <c r="C16" s="68">
        <f t="shared" si="0"/>
        <v>7.0000000000000007E-2</v>
      </c>
      <c r="D16" s="62">
        <f t="shared" si="1"/>
        <v>3.4460220396724766</v>
      </c>
      <c r="E16" s="62">
        <f t="shared" si="1"/>
        <v>5.0045440793449529</v>
      </c>
      <c r="F16" s="62">
        <f t="shared" si="1"/>
        <v>6.5630661190174306</v>
      </c>
      <c r="G16" s="62">
        <f t="shared" si="1"/>
        <v>8.1215881586899066</v>
      </c>
      <c r="H16" s="62">
        <f t="shared" si="1"/>
        <v>9.6801101983623834</v>
      </c>
      <c r="I16" s="62">
        <f t="shared" si="1"/>
        <v>11.23863223803486</v>
      </c>
    </row>
    <row r="17" spans="2:9" ht="18" customHeight="1" x14ac:dyDescent="0.35">
      <c r="B17" s="67">
        <v>0.3</v>
      </c>
      <c r="C17" s="68">
        <f t="shared" si="0"/>
        <v>8.4000000000000005E-2</v>
      </c>
      <c r="D17" s="62">
        <f t="shared" si="1"/>
        <v>3.4845508919235861</v>
      </c>
      <c r="E17" s="62">
        <f t="shared" si="1"/>
        <v>5.081601783847173</v>
      </c>
      <c r="F17" s="62">
        <f t="shared" si="1"/>
        <v>6.6786526757707598</v>
      </c>
      <c r="G17" s="62">
        <f t="shared" si="1"/>
        <v>8.2757035676943449</v>
      </c>
      <c r="H17" s="62">
        <f t="shared" si="1"/>
        <v>9.8727544596179317</v>
      </c>
      <c r="I17" s="62">
        <f t="shared" si="1"/>
        <v>11.469805351541519</v>
      </c>
    </row>
    <row r="18" spans="2:9" x14ac:dyDescent="0.35">
      <c r="B18" s="51" t="s">
        <v>97</v>
      </c>
    </row>
    <row r="20" spans="2:9" x14ac:dyDescent="0.35">
      <c r="B20" s="64" t="s">
        <v>98</v>
      </c>
    </row>
    <row r="21" spans="2:9" x14ac:dyDescent="0.35">
      <c r="B21" s="24" t="s">
        <v>99</v>
      </c>
      <c r="C21" s="25" t="s">
        <v>100</v>
      </c>
      <c r="D21" s="67">
        <v>0.5</v>
      </c>
      <c r="E21" s="67">
        <v>0.75</v>
      </c>
      <c r="F21" s="67">
        <v>1</v>
      </c>
      <c r="G21" s="67">
        <v>1.25</v>
      </c>
      <c r="H21" s="67">
        <v>1.5</v>
      </c>
    </row>
    <row r="22" spans="2:9" x14ac:dyDescent="0.35">
      <c r="B22" s="23" t="s">
        <v>101</v>
      </c>
      <c r="D22" s="69">
        <f>D21*$C$75</f>
        <v>200000</v>
      </c>
      <c r="E22" s="69">
        <f>E21*$C$75</f>
        <v>300000</v>
      </c>
      <c r="F22" s="69">
        <f>F21*$C$75</f>
        <v>400000</v>
      </c>
      <c r="G22" s="69">
        <f>G21*$C$75</f>
        <v>500000</v>
      </c>
      <c r="H22" s="69">
        <f>H21*$C$75</f>
        <v>600000</v>
      </c>
    </row>
    <row r="23" spans="2:9" ht="18" customHeight="1" x14ac:dyDescent="0.35">
      <c r="B23" s="67">
        <v>0.2</v>
      </c>
      <c r="C23" s="70">
        <f>B23*$C$74</f>
        <v>5000</v>
      </c>
      <c r="D23" s="62">
        <f t="shared" ref="D23:H27" si="2">IF(OR($C23&lt;=0,$C$78&lt;=0),0,D$22*($C$76*$C$80+(1-$C$77)/$C$78+$C$79)/$C23+$C$63)</f>
        <v>8.3862959410184601</v>
      </c>
      <c r="E23" s="62">
        <f t="shared" si="2"/>
        <v>10.686295941018461</v>
      </c>
      <c r="F23" s="62">
        <f t="shared" si="2"/>
        <v>12.98629594101846</v>
      </c>
      <c r="G23" s="62">
        <f t="shared" si="2"/>
        <v>15.286295941018459</v>
      </c>
      <c r="H23" s="62">
        <f t="shared" si="2"/>
        <v>17.586295941018463</v>
      </c>
    </row>
    <row r="24" spans="2:9" ht="18" customHeight="1" x14ac:dyDescent="0.35">
      <c r="B24" s="67">
        <v>0.5</v>
      </c>
      <c r="C24" s="70">
        <f>B24*$C$74</f>
        <v>12500</v>
      </c>
      <c r="D24" s="62">
        <f t="shared" si="2"/>
        <v>5.6262959410184612</v>
      </c>
      <c r="E24" s="62">
        <f t="shared" si="2"/>
        <v>6.5462959410184602</v>
      </c>
      <c r="F24" s="62">
        <f t="shared" si="2"/>
        <v>7.4662959410184611</v>
      </c>
      <c r="G24" s="62">
        <f t="shared" si="2"/>
        <v>8.3862959410184601</v>
      </c>
      <c r="H24" s="62">
        <f t="shared" si="2"/>
        <v>9.30629594101846</v>
      </c>
    </row>
    <row r="25" spans="2:9" ht="18" customHeight="1" x14ac:dyDescent="0.35">
      <c r="B25" s="67">
        <v>1</v>
      </c>
      <c r="C25" s="70">
        <f>B25*$C$74</f>
        <v>25000</v>
      </c>
      <c r="D25" s="62">
        <f t="shared" si="2"/>
        <v>4.7062959410184613</v>
      </c>
      <c r="E25" s="62">
        <f t="shared" si="2"/>
        <v>5.1662959410184612</v>
      </c>
      <c r="F25" s="62">
        <f t="shared" si="2"/>
        <v>5.6262959410184612</v>
      </c>
      <c r="G25" s="62">
        <f t="shared" si="2"/>
        <v>6.0862959410184612</v>
      </c>
      <c r="H25" s="62">
        <f t="shared" si="2"/>
        <v>6.5462959410184602</v>
      </c>
    </row>
    <row r="26" spans="2:9" ht="18" customHeight="1" x14ac:dyDescent="0.35">
      <c r="B26" s="67">
        <v>2</v>
      </c>
      <c r="C26" s="70">
        <f>B26*$C$74</f>
        <v>50000</v>
      </c>
      <c r="D26" s="62">
        <f t="shared" si="2"/>
        <v>4.2462959410184613</v>
      </c>
      <c r="E26" s="62">
        <f t="shared" si="2"/>
        <v>4.4762959410184608</v>
      </c>
      <c r="F26" s="62">
        <f t="shared" si="2"/>
        <v>4.7062959410184613</v>
      </c>
      <c r="G26" s="62">
        <f t="shared" si="2"/>
        <v>4.9362959410184608</v>
      </c>
      <c r="H26" s="62">
        <f t="shared" si="2"/>
        <v>5.1662959410184612</v>
      </c>
    </row>
    <row r="27" spans="2:9" ht="18" customHeight="1" x14ac:dyDescent="0.35">
      <c r="B27" s="67">
        <v>4</v>
      </c>
      <c r="C27" s="70">
        <f>B27*$C$74</f>
        <v>100000</v>
      </c>
      <c r="D27" s="62">
        <f t="shared" si="2"/>
        <v>4.0162959410184609</v>
      </c>
      <c r="E27" s="62">
        <f t="shared" si="2"/>
        <v>4.1312959410184611</v>
      </c>
      <c r="F27" s="62">
        <f t="shared" si="2"/>
        <v>4.2462959410184613</v>
      </c>
      <c r="G27" s="62">
        <f t="shared" si="2"/>
        <v>4.3612959410184606</v>
      </c>
      <c r="H27" s="62">
        <f t="shared" si="2"/>
        <v>4.4762959410184608</v>
      </c>
    </row>
    <row r="28" spans="2:9" x14ac:dyDescent="0.35">
      <c r="B28" s="51" t="s">
        <v>102</v>
      </c>
    </row>
    <row r="30" spans="2:9" x14ac:dyDescent="0.35">
      <c r="B30" s="64" t="s">
        <v>103</v>
      </c>
    </row>
    <row r="31" spans="2:9" x14ac:dyDescent="0.35">
      <c r="B31" s="24" t="s">
        <v>104</v>
      </c>
      <c r="C31" s="25" t="s">
        <v>100</v>
      </c>
      <c r="D31" s="25" t="s">
        <v>105</v>
      </c>
      <c r="E31" s="25" t="s">
        <v>106</v>
      </c>
    </row>
    <row r="32" spans="2:9" ht="16.5" customHeight="1" x14ac:dyDescent="0.35">
      <c r="B32" s="67">
        <v>0.1</v>
      </c>
      <c r="C32" s="71">
        <f t="shared" ref="C32:C40" si="3">B32*$C$74</f>
        <v>2500</v>
      </c>
      <c r="D32" s="72">
        <f t="shared" ref="D32:D40" si="4">IF(OR(C32&lt;=0,$C$78&lt;=0),0,$C$75*($C$76*$C$80+(1-$C$77)/$C$78+$C$79)/C32)</f>
        <v>18.399999999999999</v>
      </c>
      <c r="E32" s="68">
        <f t="shared" ref="E32:E40" si="5">D32+$C$63</f>
        <v>22.186295941018461</v>
      </c>
    </row>
    <row r="33" spans="2:5" ht="16.5" customHeight="1" x14ac:dyDescent="0.35">
      <c r="B33" s="67">
        <v>0.25</v>
      </c>
      <c r="C33" s="71">
        <f t="shared" si="3"/>
        <v>6250</v>
      </c>
      <c r="D33" s="72">
        <f t="shared" si="4"/>
        <v>7.36</v>
      </c>
      <c r="E33" s="68">
        <f t="shared" si="5"/>
        <v>11.146295941018462</v>
      </c>
    </row>
    <row r="34" spans="2:5" ht="16.5" customHeight="1" x14ac:dyDescent="0.35">
      <c r="B34" s="67">
        <v>0.5</v>
      </c>
      <c r="C34" s="71">
        <f t="shared" si="3"/>
        <v>12500</v>
      </c>
      <c r="D34" s="72">
        <f t="shared" si="4"/>
        <v>3.68</v>
      </c>
      <c r="E34" s="68">
        <f t="shared" si="5"/>
        <v>7.4662959410184611</v>
      </c>
    </row>
    <row r="35" spans="2:5" ht="16.5" customHeight="1" x14ac:dyDescent="0.35">
      <c r="B35" s="67">
        <v>0.75</v>
      </c>
      <c r="C35" s="71">
        <f t="shared" si="3"/>
        <v>18750</v>
      </c>
      <c r="D35" s="72">
        <f t="shared" si="4"/>
        <v>2.4533333333333331</v>
      </c>
      <c r="E35" s="68">
        <f t="shared" si="5"/>
        <v>6.2396292743517936</v>
      </c>
    </row>
    <row r="36" spans="2:5" ht="16.5" customHeight="1" x14ac:dyDescent="0.35">
      <c r="B36" s="67">
        <v>1</v>
      </c>
      <c r="C36" s="71">
        <f t="shared" si="3"/>
        <v>25000</v>
      </c>
      <c r="D36" s="72">
        <f t="shared" si="4"/>
        <v>1.84</v>
      </c>
      <c r="E36" s="68">
        <f t="shared" si="5"/>
        <v>5.6262959410184612</v>
      </c>
    </row>
    <row r="37" spans="2:5" ht="16.5" customHeight="1" x14ac:dyDescent="0.35">
      <c r="B37" s="67">
        <v>1.5</v>
      </c>
      <c r="C37" s="71">
        <f t="shared" si="3"/>
        <v>37500</v>
      </c>
      <c r="D37" s="72">
        <f t="shared" si="4"/>
        <v>1.2266666666666666</v>
      </c>
      <c r="E37" s="68">
        <f t="shared" si="5"/>
        <v>5.012962607685127</v>
      </c>
    </row>
    <row r="38" spans="2:5" ht="16.5" customHeight="1" x14ac:dyDescent="0.35">
      <c r="B38" s="67">
        <v>2</v>
      </c>
      <c r="C38" s="71">
        <f t="shared" si="3"/>
        <v>50000</v>
      </c>
      <c r="D38" s="72">
        <f t="shared" si="4"/>
        <v>0.92</v>
      </c>
      <c r="E38" s="68">
        <f t="shared" si="5"/>
        <v>4.7062959410184613</v>
      </c>
    </row>
    <row r="39" spans="2:5" ht="16.5" customHeight="1" x14ac:dyDescent="0.35">
      <c r="B39" s="67">
        <v>3</v>
      </c>
      <c r="C39" s="71">
        <f t="shared" si="3"/>
        <v>75000</v>
      </c>
      <c r="D39" s="72">
        <f t="shared" si="4"/>
        <v>0.61333333333333329</v>
      </c>
      <c r="E39" s="68">
        <f t="shared" si="5"/>
        <v>4.3996292743517937</v>
      </c>
    </row>
    <row r="40" spans="2:5" ht="16.5" customHeight="1" x14ac:dyDescent="0.35">
      <c r="B40" s="67">
        <v>4</v>
      </c>
      <c r="C40" s="71">
        <f t="shared" si="3"/>
        <v>100000</v>
      </c>
      <c r="D40" s="72">
        <f t="shared" si="4"/>
        <v>0.46</v>
      </c>
      <c r="E40" s="68">
        <f t="shared" si="5"/>
        <v>4.2462959410184613</v>
      </c>
    </row>
    <row r="61" spans="2:9" ht="21" customHeight="1" x14ac:dyDescent="0.35">
      <c r="B61" s="1" t="s">
        <v>107</v>
      </c>
      <c r="C61" s="1"/>
      <c r="D61" s="1"/>
      <c r="E61" s="1"/>
      <c r="F61" s="1"/>
      <c r="G61" s="1"/>
      <c r="H61" s="1"/>
      <c r="I61" s="1"/>
    </row>
    <row r="62" spans="2:9" x14ac:dyDescent="0.35">
      <c r="B62" s="27" t="s">
        <v>108</v>
      </c>
      <c r="C62" s="73">
        <f>Calculador!H27</f>
        <v>1.8399999999999999</v>
      </c>
    </row>
    <row r="63" spans="2:9" x14ac:dyDescent="0.35">
      <c r="B63" s="27" t="s">
        <v>109</v>
      </c>
      <c r="C63" s="73">
        <f>Calculador!H28</f>
        <v>3.7862959410184609</v>
      </c>
    </row>
    <row r="64" spans="2:9" x14ac:dyDescent="0.35">
      <c r="B64" s="27" t="s">
        <v>110</v>
      </c>
      <c r="C64" s="73">
        <f>Calculador!C29</f>
        <v>0.01</v>
      </c>
    </row>
    <row r="65" spans="2:3" x14ac:dyDescent="0.35">
      <c r="B65" s="27" t="s">
        <v>111</v>
      </c>
      <c r="C65" s="73">
        <f>Calculador!C18*Calculador!C19</f>
        <v>3</v>
      </c>
    </row>
    <row r="66" spans="2:3" x14ac:dyDescent="0.35">
      <c r="B66" s="27" t="s">
        <v>89</v>
      </c>
      <c r="C66" s="74">
        <f>Calculador!C20</f>
        <v>80</v>
      </c>
    </row>
    <row r="67" spans="2:3" x14ac:dyDescent="0.35">
      <c r="B67" s="27" t="s">
        <v>112</v>
      </c>
      <c r="C67" s="75">
        <f>Calculador!C21</f>
        <v>0</v>
      </c>
    </row>
    <row r="68" spans="2:3" x14ac:dyDescent="0.35">
      <c r="B68" s="27" t="s">
        <v>113</v>
      </c>
      <c r="C68" s="76">
        <f>IF(Calculador!C34&gt;0,(1-Calculador!C33)*Calculador!C32/Calculador!C34,0)</f>
        <v>0.11765060240963854</v>
      </c>
    </row>
    <row r="69" spans="2:3" x14ac:dyDescent="0.35">
      <c r="B69" s="27" t="s">
        <v>114</v>
      </c>
      <c r="C69" s="76">
        <f>Calculador!C33*Calculador!C32/Parámetros!D23</f>
        <v>0.48659395856103066</v>
      </c>
    </row>
    <row r="70" spans="2:3" x14ac:dyDescent="0.35">
      <c r="B70" s="27" t="s">
        <v>115</v>
      </c>
      <c r="C70" s="77">
        <f>Calculador!C15</f>
        <v>0.28000000000000003</v>
      </c>
    </row>
    <row r="71" spans="2:3" x14ac:dyDescent="0.35">
      <c r="B71" s="27" t="s">
        <v>116</v>
      </c>
      <c r="C71" s="77">
        <f>Calculador!C16</f>
        <v>0.12</v>
      </c>
    </row>
    <row r="72" spans="2:3" x14ac:dyDescent="0.35">
      <c r="B72" s="27" t="s">
        <v>47</v>
      </c>
      <c r="C72" s="78">
        <f>Calculador!C23</f>
        <v>0.14499999999999999</v>
      </c>
    </row>
    <row r="73" spans="2:3" x14ac:dyDescent="0.35">
      <c r="B73" s="27" t="s">
        <v>117</v>
      </c>
      <c r="C73" s="79">
        <f>(Calculador!C22-Calculador!C23)*100</f>
        <v>3.5000000000000004</v>
      </c>
    </row>
    <row r="74" spans="2:3" x14ac:dyDescent="0.35">
      <c r="B74" s="27" t="s">
        <v>118</v>
      </c>
      <c r="C74" s="80">
        <f>Calculador!C24</f>
        <v>25000</v>
      </c>
    </row>
    <row r="75" spans="2:3" x14ac:dyDescent="0.35">
      <c r="B75" s="27" t="s">
        <v>119</v>
      </c>
      <c r="C75" s="80">
        <f>Calculador!C25</f>
        <v>400000</v>
      </c>
    </row>
    <row r="76" spans="2:3" x14ac:dyDescent="0.35">
      <c r="B76" s="27" t="s">
        <v>28</v>
      </c>
      <c r="C76" s="78">
        <f>Calculador!C17</f>
        <v>0.12</v>
      </c>
    </row>
    <row r="77" spans="2:3" x14ac:dyDescent="0.35">
      <c r="B77" s="27" t="s">
        <v>56</v>
      </c>
      <c r="C77" s="78">
        <f>Calculador!C27</f>
        <v>0.25</v>
      </c>
    </row>
    <row r="78" spans="2:3" x14ac:dyDescent="0.35">
      <c r="B78" s="27" t="s">
        <v>90</v>
      </c>
      <c r="C78" s="81">
        <f>Calculador!C26</f>
        <v>25</v>
      </c>
    </row>
    <row r="79" spans="2:3" x14ac:dyDescent="0.35">
      <c r="B79" s="27" t="s">
        <v>120</v>
      </c>
      <c r="C79" s="78">
        <f>Calculador!C28</f>
        <v>0.01</v>
      </c>
    </row>
    <row r="80" spans="2:3" x14ac:dyDescent="0.35">
      <c r="B80" s="27" t="s">
        <v>121</v>
      </c>
      <c r="C80" s="82">
        <f>IF(Calculador!C11="Inversión promedio",(1+Calculador!C27)/2,1)</f>
        <v>0.625</v>
      </c>
    </row>
    <row r="82" spans="2:9" x14ac:dyDescent="0.35">
      <c r="B82" s="88" t="s">
        <v>1</v>
      </c>
      <c r="C82" s="88"/>
      <c r="D82" s="88"/>
      <c r="E82" s="88"/>
      <c r="F82" s="88"/>
      <c r="G82" s="88"/>
      <c r="H82" s="88"/>
      <c r="I82" s="88"/>
    </row>
  </sheetData>
  <sheetProtection sheet="1"/>
  <mergeCells count="6">
    <mergeCell ref="B82:I82"/>
    <mergeCell ref="C2:I2"/>
    <mergeCell ref="C3:I3"/>
    <mergeCell ref="B7:I7"/>
    <mergeCell ref="B8:I8"/>
    <mergeCell ref="B61:I61"/>
  </mergeCells>
  <conditionalFormatting sqref="D23:H27">
    <cfRule type="expression" dxfId="1" priority="4">
      <formula>AND($B23=1,D$21=1)</formula>
    </cfRule>
    <cfRule type="colorScale" priority="5">
      <colorScale>
        <cfvo type="min"/>
        <cfvo type="max"/>
        <color rgb="FFFFFFFF"/>
        <color rgb="FFC9D29E"/>
      </colorScale>
    </cfRule>
  </conditionalFormatting>
  <conditionalFormatting sqref="D12:I17">
    <cfRule type="expression" dxfId="0" priority="2">
      <formula>AND($B12=1,ROUND(D$11-$C$73,6)=0)</formula>
    </cfRule>
    <cfRule type="colorScale" priority="3">
      <colorScale>
        <cfvo type="min"/>
        <cfvo type="max"/>
        <color rgb="FFFFFFFF"/>
        <color rgb="FFC9D29E"/>
      </colorScale>
    </cfRule>
  </conditionalFormatting>
  <printOptions horizontalCentered="1"/>
  <pageMargins left="0.4" right="0.4" top="0.5" bottom="0.5" header="0.511811023622047" footer="0.5"/>
  <pageSetup paperSize="9" orientation="portrait" horizontalDpi="300" verticalDpi="300"/>
  <headerFooter>
    <oddFooter>&amp;C&amp;8 Ascariscer · Investigación y Desarrollo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9"/>
  <sheetViews>
    <sheetView showGridLines="0" zoomScaleNormal="100" workbookViewId="0">
      <selection activeCell="C2" sqref="C2:F2"/>
    </sheetView>
  </sheetViews>
  <sheetFormatPr baseColWidth="10" defaultColWidth="8.6328125" defaultRowHeight="14.5" x14ac:dyDescent="0.35"/>
  <cols>
    <col min="1" max="1" width="2" customWidth="1"/>
    <col min="2" max="2" width="38" customWidth="1"/>
    <col min="3" max="3" width="22" customWidth="1"/>
    <col min="4" max="5" width="24" customWidth="1"/>
    <col min="6" max="6" width="70" customWidth="1"/>
    <col min="7" max="7" width="2" customWidth="1"/>
  </cols>
  <sheetData>
    <row r="1" spans="1:7" ht="9.75" customHeight="1" x14ac:dyDescent="0.35">
      <c r="A1" s="15"/>
      <c r="B1" s="15"/>
      <c r="C1" s="15"/>
      <c r="D1" s="15"/>
      <c r="E1" s="15"/>
      <c r="F1" s="15"/>
      <c r="G1" s="15"/>
    </row>
    <row r="2" spans="1:7" ht="30" customHeight="1" x14ac:dyDescent="0.35">
      <c r="A2" s="15"/>
      <c r="B2" s="15"/>
      <c r="C2" s="14" t="s">
        <v>122</v>
      </c>
      <c r="D2" s="14"/>
      <c r="E2" s="14"/>
      <c r="F2" s="14"/>
      <c r="G2" s="15"/>
    </row>
    <row r="3" spans="1:7" ht="19.5" customHeight="1" x14ac:dyDescent="0.35">
      <c r="A3" s="15"/>
      <c r="B3" s="15"/>
      <c r="C3" s="13" t="s">
        <v>1</v>
      </c>
      <c r="D3" s="13"/>
      <c r="E3" s="13"/>
      <c r="F3" s="13"/>
      <c r="G3" s="15"/>
    </row>
    <row r="4" spans="1:7" ht="9.75" customHeight="1" x14ac:dyDescent="0.35">
      <c r="A4" s="15"/>
      <c r="B4" s="15"/>
      <c r="C4" s="15"/>
      <c r="D4" s="15"/>
      <c r="E4" s="15"/>
      <c r="F4" s="15"/>
      <c r="G4" s="15"/>
    </row>
    <row r="5" spans="1:7" ht="3.75" customHeight="1" x14ac:dyDescent="0.35">
      <c r="A5" s="18"/>
      <c r="B5" s="18"/>
      <c r="C5" s="18"/>
      <c r="D5" s="18"/>
      <c r="E5" s="18"/>
      <c r="F5" s="18"/>
      <c r="G5" s="18"/>
    </row>
    <row r="6" spans="1:7" ht="9.75" customHeight="1" x14ac:dyDescent="0.35"/>
    <row r="7" spans="1:7" ht="21" customHeight="1" x14ac:dyDescent="0.35">
      <c r="B7" s="12" t="s">
        <v>123</v>
      </c>
      <c r="C7" s="12"/>
      <c r="D7" s="12"/>
      <c r="E7" s="12"/>
      <c r="F7" s="12"/>
    </row>
    <row r="8" spans="1:7" ht="26" x14ac:dyDescent="0.35">
      <c r="B8" s="24" t="s">
        <v>19</v>
      </c>
      <c r="C8" s="25" t="s">
        <v>66</v>
      </c>
      <c r="D8" s="25" t="s">
        <v>124</v>
      </c>
      <c r="E8" s="52"/>
      <c r="F8" s="24" t="s">
        <v>125</v>
      </c>
    </row>
    <row r="9" spans="1:7" ht="15" customHeight="1" x14ac:dyDescent="0.35">
      <c r="B9" s="20" t="s">
        <v>126</v>
      </c>
      <c r="C9" s="83" t="s">
        <v>127</v>
      </c>
      <c r="D9" s="92">
        <v>6490</v>
      </c>
      <c r="F9" s="89" t="s">
        <v>164</v>
      </c>
    </row>
    <row r="10" spans="1:7" x14ac:dyDescent="0.35">
      <c r="B10" s="20" t="s">
        <v>128</v>
      </c>
      <c r="C10" s="83" t="s">
        <v>129</v>
      </c>
      <c r="D10" s="92">
        <v>8300</v>
      </c>
      <c r="F10" s="89"/>
    </row>
    <row r="11" spans="1:7" x14ac:dyDescent="0.35">
      <c r="B11" s="20" t="s">
        <v>10</v>
      </c>
      <c r="C11" s="83" t="s">
        <v>127</v>
      </c>
      <c r="D11" s="92">
        <v>8619</v>
      </c>
      <c r="F11" s="89"/>
    </row>
    <row r="13" spans="1:7" ht="21" customHeight="1" x14ac:dyDescent="0.35">
      <c r="B13" s="12" t="s">
        <v>130</v>
      </c>
      <c r="C13" s="12"/>
      <c r="D13" s="12"/>
      <c r="E13" s="12"/>
      <c r="F13" s="12"/>
    </row>
    <row r="14" spans="1:7" ht="30" customHeight="1" x14ac:dyDescent="0.35">
      <c r="B14" s="24" t="s">
        <v>88</v>
      </c>
      <c r="C14" s="25" t="s">
        <v>131</v>
      </c>
      <c r="D14" s="25" t="s">
        <v>91</v>
      </c>
      <c r="E14" s="25" t="s">
        <v>132</v>
      </c>
      <c r="F14" s="24" t="s">
        <v>125</v>
      </c>
    </row>
    <row r="15" spans="1:7" x14ac:dyDescent="0.35">
      <c r="B15" s="20" t="s">
        <v>133</v>
      </c>
      <c r="C15" s="90">
        <v>664.98</v>
      </c>
      <c r="D15" s="91">
        <v>1</v>
      </c>
      <c r="E15" s="85">
        <f t="shared" ref="E15:E20" si="0">1-D15</f>
        <v>0</v>
      </c>
    </row>
    <row r="16" spans="1:7" ht="15" customHeight="1" x14ac:dyDescent="0.35">
      <c r="B16" s="20" t="s">
        <v>134</v>
      </c>
      <c r="C16" s="90">
        <v>1395</v>
      </c>
      <c r="D16" s="91">
        <v>0.3</v>
      </c>
      <c r="E16" s="85">
        <f t="shared" si="0"/>
        <v>0.7</v>
      </c>
      <c r="F16" s="89" t="s">
        <v>135</v>
      </c>
    </row>
    <row r="17" spans="2:6" x14ac:dyDescent="0.35">
      <c r="B17" s="20" t="s">
        <v>136</v>
      </c>
      <c r="C17" s="90">
        <v>1108.3</v>
      </c>
      <c r="D17" s="91">
        <v>0.02</v>
      </c>
      <c r="E17" s="85">
        <f t="shared" si="0"/>
        <v>0.98</v>
      </c>
      <c r="F17" s="89"/>
    </row>
    <row r="18" spans="2:6" x14ac:dyDescent="0.35">
      <c r="B18" s="20" t="s">
        <v>137</v>
      </c>
      <c r="C18" s="90">
        <v>1385.4</v>
      </c>
      <c r="D18" s="91">
        <v>0.04</v>
      </c>
      <c r="E18" s="85">
        <f t="shared" si="0"/>
        <v>0.96</v>
      </c>
      <c r="F18" s="89"/>
    </row>
    <row r="19" spans="2:6" x14ac:dyDescent="0.35">
      <c r="B19" s="20" t="s">
        <v>138</v>
      </c>
      <c r="C19" s="90">
        <v>1662.5</v>
      </c>
      <c r="D19" s="91">
        <v>0.02</v>
      </c>
      <c r="E19" s="85">
        <f t="shared" si="0"/>
        <v>0.98</v>
      </c>
      <c r="F19" s="89"/>
    </row>
    <row r="20" spans="2:6" ht="24" x14ac:dyDescent="0.35">
      <c r="B20" s="63" t="s">
        <v>5</v>
      </c>
      <c r="C20" s="26">
        <v>1700</v>
      </c>
      <c r="D20" s="32">
        <v>0.02</v>
      </c>
      <c r="E20" s="85">
        <f t="shared" si="0"/>
        <v>0.98</v>
      </c>
      <c r="F20" s="84" t="s">
        <v>139</v>
      </c>
    </row>
    <row r="21" spans="2:6" x14ac:dyDescent="0.35">
      <c r="B21" s="23" t="s">
        <v>140</v>
      </c>
    </row>
    <row r="22" spans="2:6" ht="21" customHeight="1" x14ac:dyDescent="0.35">
      <c r="B22" s="12" t="s">
        <v>141</v>
      </c>
      <c r="C22" s="12"/>
      <c r="D22" s="12"/>
      <c r="E22" s="12"/>
      <c r="F22" s="12"/>
    </row>
    <row r="23" spans="2:6" x14ac:dyDescent="0.35">
      <c r="B23" s="20" t="s">
        <v>142</v>
      </c>
      <c r="D23" s="90">
        <v>860.06</v>
      </c>
      <c r="F23" s="23"/>
    </row>
    <row r="25" spans="2:6" ht="21" customHeight="1" x14ac:dyDescent="0.35">
      <c r="B25" s="12" t="s">
        <v>143</v>
      </c>
      <c r="C25" s="12"/>
      <c r="D25" s="12"/>
      <c r="E25" s="12"/>
      <c r="F25" s="12"/>
    </row>
    <row r="26" spans="2:6" x14ac:dyDescent="0.35">
      <c r="B26" s="24" t="s">
        <v>144</v>
      </c>
      <c r="C26" s="52"/>
      <c r="D26" s="24" t="s">
        <v>145</v>
      </c>
      <c r="E26" s="52"/>
      <c r="F26" s="52"/>
    </row>
    <row r="27" spans="2:6" x14ac:dyDescent="0.35">
      <c r="B27" s="20" t="s">
        <v>12</v>
      </c>
      <c r="D27" s="20" t="s">
        <v>14</v>
      </c>
      <c r="F27" s="23" t="s">
        <v>146</v>
      </c>
    </row>
    <row r="28" spans="2:6" x14ac:dyDescent="0.35">
      <c r="B28" s="20" t="s">
        <v>147</v>
      </c>
      <c r="D28" s="20" t="s">
        <v>148</v>
      </c>
      <c r="F28" s="23" t="s">
        <v>149</v>
      </c>
    </row>
    <row r="29" spans="2:6" x14ac:dyDescent="0.35">
      <c r="B29" s="23" t="s">
        <v>150</v>
      </c>
    </row>
  </sheetData>
  <sheetProtection sheet="1"/>
  <mergeCells count="8">
    <mergeCell ref="F16:F19"/>
    <mergeCell ref="B22:F22"/>
    <mergeCell ref="B25:F25"/>
    <mergeCell ref="C2:F2"/>
    <mergeCell ref="C3:F3"/>
    <mergeCell ref="B7:F7"/>
    <mergeCell ref="F9:F11"/>
    <mergeCell ref="B13:F13"/>
  </mergeCells>
  <printOptions horizontalCentered="1"/>
  <pageMargins left="0.4" right="0.4" top="0.5" bottom="0.5" header="0.511811023622047" footer="0.5"/>
  <pageSetup paperSize="9" fitToHeight="0" orientation="landscape" horizontalDpi="300" verticalDpi="300"/>
  <headerFooter>
    <oddFooter>&amp;C&amp;8 Ascariscer · Investigación y Desarrollo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2"/>
  <sheetViews>
    <sheetView showGridLines="0" zoomScaleNormal="100" workbookViewId="0">
      <selection activeCell="B12" sqref="B12"/>
    </sheetView>
  </sheetViews>
  <sheetFormatPr baseColWidth="10" defaultColWidth="8.6328125" defaultRowHeight="14.5" x14ac:dyDescent="0.35"/>
  <cols>
    <col min="1" max="1" width="2" customWidth="1"/>
    <col min="2" max="2" width="118" customWidth="1"/>
    <col min="3" max="3" width="2" customWidth="1"/>
  </cols>
  <sheetData>
    <row r="1" spans="1:3" ht="9.75" customHeight="1" x14ac:dyDescent="0.35">
      <c r="A1" s="15"/>
      <c r="B1" s="15"/>
      <c r="C1" s="15"/>
    </row>
    <row r="2" spans="1:3" ht="30" customHeight="1" x14ac:dyDescent="0.35">
      <c r="A2" s="15"/>
      <c r="B2" s="16" t="s">
        <v>151</v>
      </c>
      <c r="C2" s="15"/>
    </row>
    <row r="3" spans="1:3" ht="19.5" customHeight="1" x14ac:dyDescent="0.35">
      <c r="A3" s="15"/>
      <c r="B3" s="17" t="s">
        <v>1</v>
      </c>
      <c r="C3" s="15"/>
    </row>
    <row r="4" spans="1:3" ht="9.75" customHeight="1" x14ac:dyDescent="0.35">
      <c r="A4" s="15"/>
      <c r="B4" s="15"/>
      <c r="C4" s="15"/>
    </row>
    <row r="5" spans="1:3" ht="3.75" customHeight="1" x14ac:dyDescent="0.35">
      <c r="A5" s="18"/>
      <c r="B5" s="18"/>
      <c r="C5" s="18"/>
    </row>
    <row r="6" spans="1:3" ht="9.75" customHeight="1" x14ac:dyDescent="0.35"/>
    <row r="7" spans="1:3" ht="21" customHeight="1" x14ac:dyDescent="0.35">
      <c r="B7" s="19" t="s">
        <v>152</v>
      </c>
    </row>
    <row r="8" spans="1:3" ht="17.25" customHeight="1" x14ac:dyDescent="0.35">
      <c r="B8" s="86" t="s">
        <v>153</v>
      </c>
    </row>
    <row r="9" spans="1:3" ht="30.75" customHeight="1" x14ac:dyDescent="0.35">
      <c r="B9" s="86" t="s">
        <v>154</v>
      </c>
    </row>
    <row r="10" spans="1:3" ht="17.25" customHeight="1" x14ac:dyDescent="0.35">
      <c r="B10" s="86" t="s">
        <v>155</v>
      </c>
    </row>
    <row r="11" spans="1:3" ht="30.75" customHeight="1" x14ac:dyDescent="0.35">
      <c r="B11" s="86" t="s">
        <v>156</v>
      </c>
    </row>
    <row r="12" spans="1:3" ht="30.75" customHeight="1" x14ac:dyDescent="0.35">
      <c r="B12" s="86" t="s">
        <v>157</v>
      </c>
    </row>
    <row r="13" spans="1:3" ht="30.75" customHeight="1" x14ac:dyDescent="0.35">
      <c r="B13" s="86" t="s">
        <v>158</v>
      </c>
    </row>
    <row r="16" spans="1:3" ht="21" customHeight="1" x14ac:dyDescent="0.35">
      <c r="B16" s="19" t="s">
        <v>159</v>
      </c>
    </row>
    <row r="17" spans="2:2" ht="30.75" customHeight="1" x14ac:dyDescent="0.35">
      <c r="B17" s="86" t="s">
        <v>160</v>
      </c>
    </row>
    <row r="18" spans="2:2" ht="44.25" customHeight="1" x14ac:dyDescent="0.35">
      <c r="B18" s="93" t="s">
        <v>166</v>
      </c>
    </row>
    <row r="19" spans="2:2" ht="30.75" customHeight="1" x14ac:dyDescent="0.35">
      <c r="B19" s="86" t="s">
        <v>161</v>
      </c>
    </row>
    <row r="20" spans="2:2" ht="17.25" customHeight="1" x14ac:dyDescent="0.35">
      <c r="B20" s="86" t="s">
        <v>162</v>
      </c>
    </row>
    <row r="21" spans="2:2" ht="30.75" customHeight="1" x14ac:dyDescent="0.35">
      <c r="B21" s="86" t="s">
        <v>163</v>
      </c>
    </row>
    <row r="22" spans="2:2" ht="17.25" customHeight="1" x14ac:dyDescent="0.35">
      <c r="B22" s="93" t="s">
        <v>167</v>
      </c>
    </row>
  </sheetData>
  <sheetProtection sheet="1"/>
  <printOptions horizontalCentered="1"/>
  <pageMargins left="0.4" right="0.4" top="0.5" bottom="0.5" header="0.511811023622047" footer="0.5"/>
  <pageSetup paperSize="9" fitToHeight="0" orientation="portrait" horizontalDpi="300" verticalDpi="300"/>
  <headerFooter>
    <oddFooter>&amp;C&amp;8 Ascariscer · Investigación y Desarrollo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Calculador</vt:lpstr>
      <vt:lpstr>Sensibilidad</vt:lpstr>
      <vt:lpstr>Parámetros</vt:lpstr>
      <vt:lpstr>Notas</vt:lpstr>
      <vt:lpstr>Calculador!Área_de_impresión</vt:lpstr>
      <vt:lpstr>Notas!Área_de_impresión</vt:lpstr>
      <vt:lpstr>Parámetros!Área_de_impresión</vt:lpstr>
      <vt:lpstr>Sensibilidad!Área_de_impresión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Calculador de Costos de Secado de Granos — Ascariscer</dc:title>
  <dc:subject/>
  <dc:creator>Ascariscer I+D</dc:creator>
  <dc:description/>
  <cp:lastModifiedBy>Ricardo Bartosik</cp:lastModifiedBy>
  <cp:revision>1</cp:revision>
  <dcterms:created xsi:type="dcterms:W3CDTF">2026-09-23T15:01:29Z</dcterms:created>
  <dcterms:modified xsi:type="dcterms:W3CDTF">2026-09-24T20:34:06Z</dcterms:modified>
  <dc:language>en-US</dc:language>
</cp:coreProperties>
</file>