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04461136f082930/Ascariscer/Material Tecnico/Herramientas/"/>
    </mc:Choice>
  </mc:AlternateContent>
  <xr:revisionPtr revIDLastSave="39" documentId="8_{8473BD67-6EF2-456A-AB62-5B05E41F3C6E}" xr6:coauthVersionLast="47" xr6:coauthVersionMax="47" xr10:uidLastSave="{5DC21FC1-3307-438C-BFF3-73922AA03FF5}"/>
  <bookViews>
    <workbookView xWindow="-110" yWindow="-110" windowWidth="19420" windowHeight="11500" tabRatio="500" xr2:uid="{00000000-000D-0000-FFFF-FFFF00000000}"/>
  </bookViews>
  <sheets>
    <sheet name="Calculador" sheetId="1" r:id="rId1"/>
    <sheet name="Física vs. Comercial" sheetId="2" r:id="rId2"/>
    <sheet name="Aireación-Almacenamiento" sheetId="3" r:id="rId3"/>
    <sheet name="Dato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" i="3" l="1"/>
  <c r="F2" i="3"/>
  <c r="D2" i="3"/>
  <c r="H2" i="2"/>
  <c r="G2" i="2"/>
  <c r="E2" i="2"/>
  <c r="D18" i="3"/>
  <c r="D19" i="3" s="1"/>
  <c r="D23" i="3" s="1"/>
  <c r="D28" i="3"/>
  <c r="D20" i="3" s="1"/>
  <c r="D15" i="3"/>
  <c r="D32" i="2"/>
  <c r="D22" i="2"/>
  <c r="D20" i="2"/>
  <c r="D21" i="2" s="1"/>
  <c r="D19" i="2"/>
  <c r="D15" i="2"/>
  <c r="D29" i="2" s="1"/>
  <c r="D14" i="2"/>
  <c r="E20" i="2" s="1"/>
  <c r="D24" i="1"/>
  <c r="D14" i="1" s="1"/>
  <c r="D15" i="1" s="1"/>
  <c r="D17" i="1"/>
  <c r="H13" i="1"/>
  <c r="I13" i="1" s="1"/>
  <c r="H12" i="1"/>
  <c r="I12" i="1" s="1"/>
  <c r="H11" i="1"/>
  <c r="I11" i="1" s="1"/>
  <c r="H10" i="1"/>
  <c r="I10" i="1" s="1"/>
  <c r="H9" i="1"/>
  <c r="I9" i="1" s="1"/>
  <c r="D25" i="3" l="1"/>
  <c r="D16" i="1"/>
  <c r="D21" i="1"/>
  <c r="E22" i="2"/>
  <c r="D24" i="3"/>
  <c r="E21" i="2"/>
  <c r="D23" i="2" s="1"/>
  <c r="C25" i="2" s="1"/>
  <c r="E19" i="2"/>
  <c r="D24" i="2"/>
</calcChain>
</file>

<file path=xl/sharedStrings.xml><?xml version="1.0" encoding="utf-8"?>
<sst xmlns="http://schemas.openxmlformats.org/spreadsheetml/2006/main" count="131" uniqueCount="104">
  <si>
    <t>Ascariscer  |  Investigación y Desarrollo en Poscosecha de Granos</t>
  </si>
  <si>
    <t>DATOS DE ENTRADA</t>
  </si>
  <si>
    <t>SENSIBILIDAD</t>
  </si>
  <si>
    <t>Tipo de grano:</t>
  </si>
  <si>
    <t>Trigo pan</t>
  </si>
  <si>
    <t>Elegí de la lista (ver solapa Datos).</t>
  </si>
  <si>
    <t>Hda. final (%)</t>
  </si>
  <si>
    <t>Tn finales</t>
  </si>
  <si>
    <t>Toneladas iniciales (tn):</t>
  </si>
  <si>
    <t>Humedad inicial (%):</t>
  </si>
  <si>
    <t>Humedad final deseada (%):</t>
  </si>
  <si>
    <t>RESULTADOS — MERMA FÍSICA</t>
  </si>
  <si>
    <t>Toneladas finales:</t>
  </si>
  <si>
    <t>Diferencia de toneladas de agua:</t>
  </si>
  <si>
    <t>Kg de agua por tonelada inicial:</t>
  </si>
  <si>
    <t>Humedad base de comercialización (ref.):</t>
  </si>
  <si>
    <t>MÓDULO ECONÓMICO (demo)</t>
  </si>
  <si>
    <t>Precio de referencia ($/tn):</t>
  </si>
  <si>
    <t>Ejemplo — reemplazar por el precio real.</t>
  </si>
  <si>
    <t>Valor de la merma física ($):</t>
  </si>
  <si>
    <t>CÁLCULO AUXILIAR (no editar)</t>
  </si>
  <si>
    <t>Toneladas finales (cálculo):</t>
  </si>
  <si>
    <t>Referencia de colores:</t>
  </si>
  <si>
    <t>■ Azul: dato a completar</t>
  </si>
  <si>
    <t>■ Negro: resultado (fórmula, no tocar)</t>
  </si>
  <si>
    <t>■ Naranja: valor de ejemplo — a confirmar</t>
  </si>
  <si>
    <t>MERMA FÍSICA VS. COMERCIAL</t>
  </si>
  <si>
    <t>Humedad inicial — Hi (%):</t>
  </si>
  <si>
    <t>Humedad final real — a la que se seca (%):</t>
  </si>
  <si>
    <t>La humedad a la que realmente llevás el grano en tu proceso.</t>
  </si>
  <si>
    <t>REFERENCIA NORMATIVA (tabla Datos)</t>
  </si>
  <si>
    <t>Hf de cálculo comercial — norma (%):</t>
  </si>
  <si>
    <t>Es la humedad que usa la fórmula normativa — casi siempre distinta de la humedad comercial/base.</t>
  </si>
  <si>
    <t>Humedad comercial/base — ref. (%):</t>
  </si>
  <si>
    <t>RESULTADOS — COMPARATIVO</t>
  </si>
  <si>
    <t>Física (real)</t>
  </si>
  <si>
    <t>Comercial (normativa)</t>
  </si>
  <si>
    <t>Humedad final usada (%):</t>
  </si>
  <si>
    <t>Merma (%):</t>
  </si>
  <si>
    <t>Merma (kg):</t>
  </si>
  <si>
    <t>Diferencia (comercial − física), kg:</t>
  </si>
  <si>
    <t>Diferencia (comercial − física), %:</t>
  </si>
  <si>
    <t>MÓDULO COSTO DE SECADO</t>
  </si>
  <si>
    <t>Costo de secado (USD por punto y por tonelada):</t>
  </si>
  <si>
    <t>Costo total de secado estimado (USD):</t>
  </si>
  <si>
    <t>Materia seca (tn):</t>
  </si>
  <si>
    <t>MERMA POR AIREACIÓN / ALMACENAMIENTO</t>
  </si>
  <si>
    <t>Humedad inicial — antes de airear (%):</t>
  </si>
  <si>
    <t>Humedad final — después de airear (%):</t>
  </si>
  <si>
    <t>La que reportás vos: la que efectivamente quedó el grano después de la aireación.</t>
  </si>
  <si>
    <t>Valor de la mercadería (USD/tn) — opcional:</t>
  </si>
  <si>
    <t>REFERENCIA NORMATIVA</t>
  </si>
  <si>
    <t>Humedad comercial/base (%) — ref.:</t>
  </si>
  <si>
    <t>Merma física directa (%):</t>
  </si>
  <si>
    <t>Merma física directa (kg):</t>
  </si>
  <si>
    <t>PÉRDIDA POR SOBRESECADO (USD)</t>
  </si>
  <si>
    <t>Pérdida total, USD (según humedad inicial):</t>
  </si>
  <si>
    <t>Valor de toda el agua perdida entre humedad inicial y final, a precio de mercado.</t>
  </si>
  <si>
    <t>Sobresecado respecto a la base comercial (puntos):</t>
  </si>
  <si>
    <t>Cuántos puntos por debajo de la humedad comercial/base quedó el grano (0 si no hubo sobresecado).</t>
  </si>
  <si>
    <t>Pérdida por sobresecado, USD (vs. humedad base comercial):</t>
  </si>
  <si>
    <t>Solo la parte de la pérdida que ocurre por secar por debajo de la humedad comercial/base — el costo 'evitable' de la aireación.</t>
  </si>
  <si>
    <t>Grano</t>
  </si>
  <si>
    <t>Hda. comercial/base (%)</t>
  </si>
  <si>
    <t>Tolerancia recibo (%)</t>
  </si>
  <si>
    <t>Hf cálculo comercial (%)</t>
  </si>
  <si>
    <t>Fuente oficial</t>
  </si>
  <si>
    <t>Norma XX - SAGyP 1075/94; BCR</t>
  </si>
  <si>
    <t>Maíz</t>
  </si>
  <si>
    <t>Norma XII - SAGyP 1075/94; BCR</t>
  </si>
  <si>
    <t>Soja</t>
  </si>
  <si>
    <t>Res. SAGPyA 151/08 - Norma XVII; BCR</t>
  </si>
  <si>
    <t>Girasol</t>
  </si>
  <si>
    <t>Norma IX - SAGyP 1075/94; BCR</t>
  </si>
  <si>
    <t>Cebada cervecera</t>
  </si>
  <si>
    <t>Res. 27/2013 - Norma V.A; BCR</t>
  </si>
  <si>
    <t>Cebada forrajera</t>
  </si>
  <si>
    <t>Res. 27/2013 - Norma V.B; BCR</t>
  </si>
  <si>
    <t>Sorgo granífero</t>
  </si>
  <si>
    <t>Res. SENASA 189/2025 - Norma XVIII</t>
  </si>
  <si>
    <t>Arroz cáscara</t>
  </si>
  <si>
    <t>Norma II - SAGyP 1075/94; BCR</t>
  </si>
  <si>
    <t>Avena</t>
  </si>
  <si>
    <t>Centeno</t>
  </si>
  <si>
    <t>Norma VI - SAGyP 1075/94; BCR</t>
  </si>
  <si>
    <t>Mijo</t>
  </si>
  <si>
    <t>Norma XIV - SAGyP 1075/94; BCR</t>
  </si>
  <si>
    <t>Cártamo</t>
  </si>
  <si>
    <t>Norma IV - SAGyP 1075/94; BCR</t>
  </si>
  <si>
    <t>Lino</t>
  </si>
  <si>
    <t>Norma XI - SAGyP 1075/94; BCR</t>
  </si>
  <si>
    <t>Colza / Canola</t>
  </si>
  <si>
    <t>Norma VII - SAGyP 1075/94; BCR</t>
  </si>
  <si>
    <t>Maní industria aceitera</t>
  </si>
  <si>
    <t>Norma XIII - SAGyP 1075/94; BCR</t>
  </si>
  <si>
    <t>Porotos</t>
  </si>
  <si>
    <t>Norma XVI; Res. 228/2021; BCR (Hf no verificado)</t>
  </si>
  <si>
    <t>Fuente: informe técnico "Merma comercial por humedad de granos en la normativa argentina" (revisión de normativa y documentación de BCR, BCCBA y BCBA). Fórmula: M(%) = [(Hi−Hf)/(100−Hf)]×100. La Hf de cálculo comercial NO es la humedad comercial/base: suele ser 0,5 a 1,5 puntos más baja según la norma de cada grano. Avena y porotos quedan con datos pendientes de verificación normativa fina — no completar por analogía.</t>
  </si>
  <si>
    <t>Ejemplo — reemplazar por el costo real de tu secado.</t>
  </si>
  <si>
    <t xml:space="preserve">Norma III - SAGyP 1075/94; BCR </t>
  </si>
  <si>
    <t>CALCULADOR DE MERMA POR HUMEDAD (REAL)</t>
  </si>
  <si>
    <t>Fecha: 23/9/2026</t>
  </si>
  <si>
    <t>Autor: Ricardo Bartosik</t>
  </si>
  <si>
    <t>Versión: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</si>
</sst>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0"/>
  </numFmts>
  <fonts count="22" x14ac:knownFonts="1">
    <font>
      <sz val="11"/>
      <color theme="1"/>
      <name val="Calibri"/>
      <family val="2"/>
      <charset val="1"/>
    </font>
    <font>
      <b/>
      <sz val="16"/>
      <color rgb="FFFFFFFF"/>
      <name val="Arial"/>
      <charset val="1"/>
    </font>
    <font>
      <i/>
      <sz val="10"/>
      <color rgb="FFFFFFFF"/>
      <name val="Arial"/>
      <charset val="1"/>
    </font>
    <font>
      <b/>
      <sz val="10"/>
      <color rgb="FFFFFFFF"/>
      <name val="Arial"/>
      <charset val="1"/>
    </font>
    <font>
      <b/>
      <sz val="9"/>
      <color rgb="FFFFFFFF"/>
      <name val="Arial"/>
      <charset val="1"/>
    </font>
    <font>
      <sz val="10"/>
      <color rgb="FF000000"/>
      <name val="Arial"/>
      <charset val="1"/>
    </font>
    <font>
      <b/>
      <sz val="10"/>
      <color rgb="FF0000FF"/>
      <name val="Arial"/>
      <charset val="1"/>
    </font>
    <font>
      <i/>
      <sz val="8.5"/>
      <color rgb="FF80808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b/>
      <sz val="10"/>
      <color rgb="FF000000"/>
      <name val="Arial"/>
      <charset val="1"/>
    </font>
    <font>
      <b/>
      <sz val="10"/>
      <color rgb="FFC55A11"/>
      <name val="Arial"/>
      <charset val="1"/>
    </font>
    <font>
      <sz val="9"/>
      <color rgb="FF808080"/>
      <name val="Arial"/>
      <charset val="1"/>
    </font>
    <font>
      <b/>
      <sz val="8.5"/>
      <color rgb="FF595959"/>
      <name val="Arial"/>
      <charset val="1"/>
    </font>
    <font>
      <sz val="8.5"/>
      <color rgb="FF0000FF"/>
      <name val="Arial"/>
      <charset val="1"/>
    </font>
    <font>
      <sz val="8.5"/>
      <color rgb="FF000000"/>
      <name val="Arial"/>
      <charset val="1"/>
    </font>
    <font>
      <sz val="8.5"/>
      <color rgb="FFC55A11"/>
      <name val="Arial"/>
      <charset val="1"/>
    </font>
    <font>
      <b/>
      <sz val="9.5"/>
      <color rgb="FFFFFFFF"/>
      <name val="Arial"/>
      <charset val="1"/>
    </font>
    <font>
      <b/>
      <sz val="10"/>
      <color rgb="FF172E5F"/>
      <name val="Arial"/>
      <charset val="1"/>
    </font>
    <font>
      <b/>
      <sz val="15"/>
      <color rgb="FFFFFFFF"/>
      <name val="Arial"/>
      <charset val="1"/>
    </font>
    <font>
      <i/>
      <sz val="8.5"/>
      <color rgb="FF808080"/>
      <name val="Arial"/>
      <family val="2"/>
    </font>
    <font>
      <b/>
      <sz val="16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72E5F"/>
        <bgColor rgb="FF333333"/>
      </patternFill>
    </fill>
    <fill>
      <patternFill patternType="solid">
        <fgColor rgb="FF3C5A8F"/>
        <bgColor rgb="FF595959"/>
      </patternFill>
    </fill>
    <fill>
      <patternFill patternType="solid">
        <fgColor rgb="FFFFFFFF"/>
        <bgColor rgb="FFF2F3F5"/>
      </patternFill>
    </fill>
    <fill>
      <patternFill patternType="solid">
        <fgColor rgb="FFF2F3F5"/>
        <bgColor rgb="FFFFFFFF"/>
      </patternFill>
    </fill>
    <fill>
      <patternFill patternType="solid">
        <fgColor rgb="FF8C8C8C"/>
        <bgColor rgb="FF878787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1">
    <xf numFmtId="0" fontId="0" fillId="0" borderId="0" xfId="0"/>
    <xf numFmtId="4" fontId="10" fillId="4" borderId="2" xfId="0" applyNumberFormat="1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horizontal="left" vertical="center" wrapText="1" indent="1"/>
    </xf>
    <xf numFmtId="165" fontId="10" fillId="4" borderId="2" xfId="0" applyNumberFormat="1" applyFont="1" applyFill="1" applyBorder="1" applyAlignment="1">
      <alignment horizontal="center" vertical="center"/>
    </xf>
    <xf numFmtId="2" fontId="10" fillId="4" borderId="2" xfId="0" applyNumberFormat="1" applyFont="1" applyFill="1" applyBorder="1" applyAlignment="1">
      <alignment horizontal="center" vertical="center"/>
    </xf>
    <xf numFmtId="164" fontId="10" fillId="4" borderId="2" xfId="0" applyNumberFormat="1" applyFont="1" applyFill="1" applyBorder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5" fillId="4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4" fontId="9" fillId="4" borderId="1" xfId="0" applyNumberFormat="1" applyFont="1" applyFill="1" applyBorder="1" applyAlignment="1">
      <alignment horizontal="center" vertical="center"/>
    </xf>
    <xf numFmtId="4" fontId="10" fillId="4" borderId="1" xfId="0" applyNumberFormat="1" applyFont="1" applyFill="1" applyBorder="1" applyAlignment="1">
      <alignment horizontal="center" vertical="center"/>
    </xf>
    <xf numFmtId="165" fontId="10" fillId="4" borderId="1" xfId="0" applyNumberFormat="1" applyFont="1" applyFill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/>
    </xf>
    <xf numFmtId="166" fontId="12" fillId="5" borderId="1" xfId="0" applyNumberFormat="1" applyFont="1" applyFill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0" fillId="3" borderId="0" xfId="0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2" fontId="10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/>
    </xf>
    <xf numFmtId="164" fontId="9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wrapText="1"/>
    </xf>
    <xf numFmtId="166" fontId="12" fillId="5" borderId="2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left" vertical="center" indent="1"/>
    </xf>
    <xf numFmtId="0" fontId="7" fillId="0" borderId="0" xfId="0" applyFont="1" applyAlignment="1">
      <alignment vertical="top" wrapText="1"/>
    </xf>
    <xf numFmtId="49" fontId="6" fillId="4" borderId="1" xfId="0" applyNumberFormat="1" applyFont="1" applyFill="1" applyBorder="1" applyAlignment="1" applyProtection="1">
      <alignment horizontal="center" vertical="center"/>
      <protection locked="0"/>
    </xf>
    <xf numFmtId="4" fontId="6" fillId="4" borderId="1" xfId="0" applyNumberFormat="1" applyFont="1" applyFill="1" applyBorder="1" applyAlignment="1" applyProtection="1">
      <alignment horizontal="center" vertical="center"/>
      <protection locked="0"/>
    </xf>
    <xf numFmtId="164" fontId="6" fillId="4" borderId="1" xfId="0" applyNumberFormat="1" applyFont="1" applyFill="1" applyBorder="1" applyAlignment="1" applyProtection="1">
      <alignment horizontal="center" vertical="center"/>
      <protection locked="0"/>
    </xf>
    <xf numFmtId="4" fontId="11" fillId="4" borderId="1" xfId="0" applyNumberFormat="1" applyFont="1" applyFill="1" applyBorder="1" applyAlignment="1" applyProtection="1">
      <alignment horizontal="center" vertical="center"/>
      <protection locked="0"/>
    </xf>
    <xf numFmtId="49" fontId="6" fillId="4" borderId="2" xfId="0" applyNumberFormat="1" applyFont="1" applyFill="1" applyBorder="1" applyAlignment="1" applyProtection="1">
      <alignment horizontal="center" vertical="center"/>
      <protection locked="0"/>
    </xf>
    <xf numFmtId="4" fontId="6" fillId="4" borderId="2" xfId="0" applyNumberFormat="1" applyFont="1" applyFill="1" applyBorder="1" applyAlignment="1" applyProtection="1">
      <alignment horizontal="center" vertical="center"/>
      <protection locked="0"/>
    </xf>
    <xf numFmtId="164" fontId="6" fillId="4" borderId="2" xfId="0" applyNumberFormat="1" applyFont="1" applyFill="1" applyBorder="1" applyAlignment="1" applyProtection="1">
      <alignment horizontal="center" vertical="center"/>
      <protection locked="0"/>
    </xf>
    <xf numFmtId="4" fontId="11" fillId="4" borderId="2" xfId="0" applyNumberFormat="1" applyFont="1" applyFill="1" applyBorder="1" applyAlignment="1" applyProtection="1">
      <alignment horizontal="center" vertical="center"/>
      <protection locked="0"/>
    </xf>
    <xf numFmtId="0" fontId="20" fillId="4" borderId="1" xfId="0" applyFont="1" applyFill="1" applyBorder="1" applyAlignment="1">
      <alignment horizontal="left" vertical="center" wrapText="1"/>
    </xf>
    <xf numFmtId="0" fontId="21" fillId="2" borderId="0" xfId="0" applyFont="1" applyFill="1" applyAlignment="1">
      <alignment horizontal="left" vertical="center" inden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78787"/>
      <rgbColor rgb="FF993366"/>
      <rgbColor rgb="FFF2F3F5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A7EBB"/>
      <rgbColor rgb="FF33CCCC"/>
      <rgbColor rgb="FF99CC00"/>
      <rgbColor rgb="FFFFCC00"/>
      <rgbColor rgb="FFFF9900"/>
      <rgbColor rgb="FFC55A11"/>
      <rgbColor rgb="FF595959"/>
      <rgbColor rgb="FF8C8C8C"/>
      <rgbColor rgb="FF172E5F"/>
      <rgbColor rgb="FF2E7D6B"/>
      <rgbColor rgb="FF003300"/>
      <rgbColor rgb="FF333300"/>
      <rgbColor rgb="FF993300"/>
      <rgbColor rgb="FF993366"/>
      <rgbColor rgb="FF3C5A8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4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s-AR" sz="1400" b="1" strike="noStrike" spc="-1">
                <a:solidFill>
                  <a:srgbClr val="000000"/>
                </a:solidFill>
                <a:latin typeface="Calibri"/>
              </a:rPr>
              <a:t>Toneladas finales según humedad final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Calculador!$I$8</c:f>
              <c:strCache>
                <c:ptCount val="1"/>
                <c:pt idx="0">
                  <c:v>Tn finales</c:v>
                </c:pt>
              </c:strCache>
            </c:strRef>
          </c:tx>
          <c:spPr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A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Calculador!$H$9:$H$13</c:f>
              <c:numCache>
                <c:formatCode>0.0</c:formatCode>
                <c:ptCount val="5"/>
                <c:pt idx="0">
                  <c:v>12.5</c:v>
                </c:pt>
                <c:pt idx="1">
                  <c:v>13.5</c:v>
                </c:pt>
                <c:pt idx="2">
                  <c:v>14.5</c:v>
                </c:pt>
                <c:pt idx="3">
                  <c:v>15.5</c:v>
                </c:pt>
                <c:pt idx="4">
                  <c:v>16.5</c:v>
                </c:pt>
              </c:numCache>
            </c:numRef>
          </c:cat>
          <c:val>
            <c:numRef>
              <c:f>Calculador!$I$9:$I$13</c:f>
              <c:numCache>
                <c:formatCode>#,##0.00</c:formatCode>
                <c:ptCount val="5"/>
                <c:pt idx="0">
                  <c:v>23428.571428571428</c:v>
                </c:pt>
                <c:pt idx="1">
                  <c:v>23699.421965317921</c:v>
                </c:pt>
                <c:pt idx="2">
                  <c:v>23976.608187134505</c:v>
                </c:pt>
                <c:pt idx="3">
                  <c:v>24260.3550295858</c:v>
                </c:pt>
                <c:pt idx="4">
                  <c:v>24550.898203592817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7AF-476F-8004-65D5828F8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31138146"/>
        <c:axId val="96185617"/>
      </c:lineChart>
      <c:catAx>
        <c:axId val="3113814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AR" sz="1000" b="1" strike="noStrike" spc="-1">
                    <a:solidFill>
                      <a:srgbClr val="000000"/>
                    </a:solidFill>
                    <a:latin typeface="Calibri"/>
                  </a:rPr>
                  <a:t>Humedad final (%)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AR"/>
          </a:p>
        </c:txPr>
        <c:crossAx val="96185617"/>
        <c:crosses val="autoZero"/>
        <c:auto val="1"/>
        <c:lblAlgn val="ctr"/>
        <c:lblOffset val="100"/>
        <c:noMultiLvlLbl val="0"/>
      </c:catAx>
      <c:valAx>
        <c:axId val="9618561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AR" sz="1000" b="1" strike="noStrike" spc="-1">
                    <a:solidFill>
                      <a:srgbClr val="000000"/>
                    </a:solidFill>
                    <a:latin typeface="Calibri"/>
                  </a:rPr>
                  <a:t>Tn finales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AR"/>
          </a:p>
        </c:txPr>
        <c:crossAx val="3113814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2178050</xdr:colOff>
      <xdr:row>13</xdr:row>
      <xdr:rowOff>95250</xdr:rowOff>
    </xdr:from>
    <xdr:to>
      <xdr:col>10</xdr:col>
      <xdr:colOff>182960</xdr:colOff>
      <xdr:row>27</xdr:row>
      <xdr:rowOff>49930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1809360</xdr:colOff>
      <xdr:row>1</xdr:row>
      <xdr:rowOff>447480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53160" y="95400"/>
          <a:ext cx="1809360" cy="447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1809360</xdr:colOff>
      <xdr:row>1</xdr:row>
      <xdr:rowOff>447480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53160" y="95400"/>
          <a:ext cx="1809360" cy="447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1809360</xdr:colOff>
      <xdr:row>1</xdr:row>
      <xdr:rowOff>447480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53160" y="95400"/>
          <a:ext cx="1809360" cy="4474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2E5F"/>
  </sheetPr>
  <dimension ref="C1:I33"/>
  <sheetViews>
    <sheetView showGridLines="0" tabSelected="1" topLeftCell="A2" zoomScaleNormal="100" workbookViewId="0">
      <selection activeCell="F15" sqref="F15"/>
    </sheetView>
  </sheetViews>
  <sheetFormatPr baseColWidth="10" defaultColWidth="8.6328125" defaultRowHeight="14.5" x14ac:dyDescent="0.35"/>
  <cols>
    <col min="1" max="2" width="2.453125" customWidth="1"/>
    <col min="3" max="3" width="40" customWidth="1"/>
    <col min="4" max="4" width="16" customWidth="1"/>
    <col min="5" max="5" width="3" customWidth="1"/>
    <col min="6" max="6" width="44" customWidth="1"/>
    <col min="7" max="7" width="3" customWidth="1"/>
    <col min="8" max="8" width="16" customWidth="1"/>
    <col min="9" max="9" width="13" customWidth="1"/>
  </cols>
  <sheetData>
    <row r="1" spans="3:9" ht="7.5" customHeight="1" x14ac:dyDescent="0.35"/>
    <row r="2" spans="3:9" ht="45.75" customHeight="1" x14ac:dyDescent="0.35">
      <c r="D2" s="49" t="s">
        <v>101</v>
      </c>
      <c r="E2" s="49"/>
      <c r="F2" s="50" t="s">
        <v>102</v>
      </c>
      <c r="G2" s="49"/>
      <c r="H2" s="49" t="s">
        <v>103</v>
      </c>
      <c r="I2" s="48"/>
    </row>
    <row r="3" spans="3:9" ht="6" customHeight="1" x14ac:dyDescent="0.35"/>
    <row r="4" spans="3:9" ht="30" customHeight="1" x14ac:dyDescent="0.35">
      <c r="C4" s="46" t="s">
        <v>100</v>
      </c>
      <c r="D4" s="10"/>
      <c r="E4" s="10"/>
      <c r="F4" s="10"/>
      <c r="G4" s="10"/>
      <c r="H4" s="10"/>
      <c r="I4" s="10"/>
    </row>
    <row r="5" spans="3:9" ht="19.5" customHeight="1" x14ac:dyDescent="0.35">
      <c r="C5" s="9" t="s">
        <v>0</v>
      </c>
      <c r="D5" s="9"/>
      <c r="E5" s="9"/>
      <c r="F5" s="9"/>
      <c r="G5" s="9"/>
      <c r="H5" s="9"/>
      <c r="I5" s="9"/>
    </row>
    <row r="6" spans="3:9" ht="9.75" customHeight="1" x14ac:dyDescent="0.35"/>
    <row r="7" spans="3:9" x14ac:dyDescent="0.35">
      <c r="C7" s="8" t="s">
        <v>1</v>
      </c>
      <c r="D7" s="8"/>
      <c r="H7" s="7" t="s">
        <v>2</v>
      </c>
      <c r="I7" s="7"/>
    </row>
    <row r="8" spans="3:9" x14ac:dyDescent="0.35">
      <c r="C8" s="11" t="s">
        <v>3</v>
      </c>
      <c r="D8" s="37" t="s">
        <v>68</v>
      </c>
      <c r="F8" s="12" t="s">
        <v>5</v>
      </c>
      <c r="H8" s="13" t="s">
        <v>6</v>
      </c>
      <c r="I8" s="13" t="s">
        <v>7</v>
      </c>
    </row>
    <row r="9" spans="3:9" x14ac:dyDescent="0.35">
      <c r="C9" s="11" t="s">
        <v>8</v>
      </c>
      <c r="D9" s="38">
        <v>25000</v>
      </c>
      <c r="H9" s="14">
        <f>$D$11+(-2)</f>
        <v>12.5</v>
      </c>
      <c r="I9" s="15">
        <f>$D$9*(1-$D$10/100)/(1-H9/100)</f>
        <v>23428.571428571428</v>
      </c>
    </row>
    <row r="10" spans="3:9" x14ac:dyDescent="0.35">
      <c r="C10" s="11" t="s">
        <v>9</v>
      </c>
      <c r="D10" s="39">
        <v>18</v>
      </c>
      <c r="H10" s="14">
        <f>$D$11+(-1)</f>
        <v>13.5</v>
      </c>
      <c r="I10" s="15">
        <f>$D$9*(1-$D$10/100)/(1-H10/100)</f>
        <v>23699.421965317921</v>
      </c>
    </row>
    <row r="11" spans="3:9" x14ac:dyDescent="0.35">
      <c r="C11" s="11" t="s">
        <v>10</v>
      </c>
      <c r="D11" s="39">
        <v>14.5</v>
      </c>
      <c r="H11" s="14">
        <f>$D$11+(0)</f>
        <v>14.5</v>
      </c>
      <c r="I11" s="15">
        <f>$D$9*(1-$D$10/100)/(1-H11/100)</f>
        <v>23976.608187134505</v>
      </c>
    </row>
    <row r="12" spans="3:9" ht="7.5" customHeight="1" x14ac:dyDescent="0.35">
      <c r="H12" s="14">
        <f>$D$11+(1)</f>
        <v>15.5</v>
      </c>
      <c r="I12" s="15">
        <f>$D$9*(1-$D$10/100)/(1-H12/100)</f>
        <v>24260.3550295858</v>
      </c>
    </row>
    <row r="13" spans="3:9" x14ac:dyDescent="0.35">
      <c r="C13" s="8" t="s">
        <v>11</v>
      </c>
      <c r="D13" s="8"/>
      <c r="H13" s="14">
        <f>$D$11+(2)</f>
        <v>16.5</v>
      </c>
      <c r="I13" s="15">
        <f>$D$9*(1-$D$10/100)/(1-H13/100)</f>
        <v>24550.898203592817</v>
      </c>
    </row>
    <row r="14" spans="3:9" x14ac:dyDescent="0.35">
      <c r="C14" s="11" t="s">
        <v>12</v>
      </c>
      <c r="D14" s="16">
        <f>D24</f>
        <v>23976.608187134505</v>
      </c>
    </row>
    <row r="15" spans="3:9" x14ac:dyDescent="0.35">
      <c r="C15" s="11" t="s">
        <v>13</v>
      </c>
      <c r="D15" s="16">
        <f>D14-D9</f>
        <v>-1023.391812865495</v>
      </c>
    </row>
    <row r="16" spans="3:9" x14ac:dyDescent="0.35">
      <c r="C16" s="11" t="s">
        <v>14</v>
      </c>
      <c r="D16" s="16">
        <f>D15/D9*1000</f>
        <v>-40.935672514619796</v>
      </c>
    </row>
    <row r="17" spans="3:6" x14ac:dyDescent="0.35">
      <c r="C17" s="11" t="s">
        <v>15</v>
      </c>
      <c r="D17" s="16">
        <f>IF(INDEX(Datos!$B$2:$B$17,MATCH($D$8,Datos!$A$2:$A$17,0))="","-",INDEX(Datos!$B$2:$B$17,MATCH($D$8,Datos!$A$2:$A$17,0)))</f>
        <v>14.5</v>
      </c>
      <c r="F17" s="12"/>
    </row>
    <row r="18" spans="3:6" ht="7.5" customHeight="1" x14ac:dyDescent="0.35"/>
    <row r="19" spans="3:6" x14ac:dyDescent="0.35">
      <c r="C19" s="8" t="s">
        <v>16</v>
      </c>
      <c r="D19" s="8"/>
    </row>
    <row r="20" spans="3:6" x14ac:dyDescent="0.35">
      <c r="C20" s="11" t="s">
        <v>17</v>
      </c>
      <c r="D20" s="40">
        <v>250</v>
      </c>
      <c r="F20" s="12" t="s">
        <v>18</v>
      </c>
    </row>
    <row r="21" spans="3:6" x14ac:dyDescent="0.35">
      <c r="C21" s="11" t="s">
        <v>19</v>
      </c>
      <c r="D21" s="16">
        <f>-D15*D20</f>
        <v>255847.95321637375</v>
      </c>
    </row>
    <row r="22" spans="3:6" x14ac:dyDescent="0.35">
      <c r="F22" s="12"/>
    </row>
    <row r="23" spans="3:6" x14ac:dyDescent="0.35">
      <c r="C23" s="6" t="s">
        <v>20</v>
      </c>
      <c r="D23" s="6"/>
    </row>
    <row r="24" spans="3:6" x14ac:dyDescent="0.35">
      <c r="C24" s="19" t="s">
        <v>21</v>
      </c>
      <c r="D24" s="20">
        <f>D9*(1-D10/100)/(1-D11/100)</f>
        <v>23976.608187134505</v>
      </c>
      <c r="F24" s="12"/>
    </row>
    <row r="25" spans="3:6" ht="7.5" customHeight="1" x14ac:dyDescent="0.35"/>
    <row r="30" spans="3:6" x14ac:dyDescent="0.35">
      <c r="C30" s="21" t="s">
        <v>22</v>
      </c>
    </row>
    <row r="31" spans="3:6" x14ac:dyDescent="0.35">
      <c r="C31" s="22" t="s">
        <v>23</v>
      </c>
    </row>
    <row r="32" spans="3:6" x14ac:dyDescent="0.35">
      <c r="C32" s="23" t="s">
        <v>24</v>
      </c>
    </row>
    <row r="33" spans="3:3" x14ac:dyDescent="0.35">
      <c r="C33" s="24" t="s">
        <v>25</v>
      </c>
    </row>
  </sheetData>
  <sheetProtection sheet="1" objects="1" scenarios="1"/>
  <mergeCells count="7">
    <mergeCell ref="C19:D19"/>
    <mergeCell ref="C23:D23"/>
    <mergeCell ref="C4:I4"/>
    <mergeCell ref="C5:I5"/>
    <mergeCell ref="C7:D7"/>
    <mergeCell ref="H7:I7"/>
    <mergeCell ref="C13:D13"/>
  </mergeCells>
  <pageMargins left="0.75" right="0.75" top="1" bottom="1" header="0.511811023622047" footer="0.511811023622047"/>
  <pageSetup paperSize="9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xr:uid="{00000000-0002-0000-0000-000000000000}">
          <x14:formula1>
            <xm:f>Datos!$A$2:$A$17</xm:f>
          </x14:formula1>
          <x14:formula2>
            <xm:f>0</xm:f>
          </x14:formula2>
          <xm:sqref>D8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55A11"/>
  </sheetPr>
  <dimension ref="C1:H37"/>
  <sheetViews>
    <sheetView showGridLines="0" zoomScaleNormal="100" workbookViewId="0">
      <selection activeCell="D8" sqref="D8:E8"/>
    </sheetView>
  </sheetViews>
  <sheetFormatPr baseColWidth="10" defaultColWidth="8.6328125" defaultRowHeight="14.5" x14ac:dyDescent="0.35"/>
  <cols>
    <col min="1" max="2" width="2.453125" customWidth="1"/>
    <col min="3" max="3" width="34" customWidth="1"/>
    <col min="4" max="5" width="17" customWidth="1"/>
    <col min="6" max="6" width="3" customWidth="1"/>
    <col min="7" max="7" width="42" customWidth="1"/>
    <col min="8" max="8" width="9.7265625" customWidth="1"/>
  </cols>
  <sheetData>
    <row r="1" spans="3:8" ht="7.5" customHeight="1" x14ac:dyDescent="0.35"/>
    <row r="2" spans="3:8" ht="45.75" customHeight="1" x14ac:dyDescent="0.35">
      <c r="D2" s="47"/>
      <c r="E2" s="49" t="str">
        <f>Calculador!D2</f>
        <v>Fecha: 23/9/2026</v>
      </c>
      <c r="F2" s="49"/>
      <c r="G2" s="49" t="str">
        <f>Calculador!F2</f>
        <v>Autor: Ricardo Bartosik</v>
      </c>
      <c r="H2" s="49" t="str">
        <f>Calculador!H2</f>
        <v>Versión: 1.0</v>
      </c>
    </row>
    <row r="3" spans="3:8" ht="6" customHeight="1" x14ac:dyDescent="0.35"/>
    <row r="4" spans="3:8" ht="30" customHeight="1" x14ac:dyDescent="0.35">
      <c r="C4" s="10" t="s">
        <v>26</v>
      </c>
      <c r="D4" s="10"/>
      <c r="E4" s="10"/>
      <c r="F4" s="10"/>
      <c r="G4" s="10"/>
    </row>
    <row r="5" spans="3:8" ht="19.5" customHeight="1" x14ac:dyDescent="0.35">
      <c r="C5" s="9" t="s">
        <v>0</v>
      </c>
      <c r="D5" s="9"/>
      <c r="E5" s="9"/>
      <c r="F5" s="9"/>
      <c r="G5" s="9"/>
    </row>
    <row r="6" spans="3:8" ht="9.75" customHeight="1" x14ac:dyDescent="0.35"/>
    <row r="7" spans="3:8" x14ac:dyDescent="0.35">
      <c r="C7" s="8" t="s">
        <v>1</v>
      </c>
      <c r="D7" s="8"/>
      <c r="E7" s="8"/>
    </row>
    <row r="8" spans="3:8" x14ac:dyDescent="0.35">
      <c r="C8" s="11" t="s">
        <v>3</v>
      </c>
      <c r="D8" s="41" t="s">
        <v>78</v>
      </c>
      <c r="E8" s="41"/>
      <c r="G8" s="12" t="s">
        <v>5</v>
      </c>
    </row>
    <row r="9" spans="3:8" x14ac:dyDescent="0.35">
      <c r="C9" s="11" t="s">
        <v>8</v>
      </c>
      <c r="D9" s="42">
        <v>100</v>
      </c>
      <c r="E9" s="42"/>
    </row>
    <row r="10" spans="3:8" x14ac:dyDescent="0.35">
      <c r="C10" s="11" t="s">
        <v>27</v>
      </c>
      <c r="D10" s="43">
        <v>18</v>
      </c>
      <c r="E10" s="43"/>
    </row>
    <row r="11" spans="3:8" ht="22" x14ac:dyDescent="0.35">
      <c r="C11" s="11" t="s">
        <v>28</v>
      </c>
      <c r="D11" s="43">
        <v>15</v>
      </c>
      <c r="E11" s="43"/>
      <c r="G11" s="12" t="s">
        <v>29</v>
      </c>
    </row>
    <row r="12" spans="3:8" ht="7.5" customHeight="1" x14ac:dyDescent="0.35"/>
    <row r="13" spans="3:8" x14ac:dyDescent="0.35">
      <c r="C13" s="8" t="s">
        <v>30</v>
      </c>
      <c r="D13" s="8"/>
      <c r="E13" s="8"/>
    </row>
    <row r="14" spans="3:8" ht="22" x14ac:dyDescent="0.35">
      <c r="C14" s="11" t="s">
        <v>31</v>
      </c>
      <c r="D14" s="5">
        <f>INDEX(Datos!$D$2:$D$17,MATCH($D$8,Datos!$A$2:$A$17,0))</f>
        <v>13.5</v>
      </c>
      <c r="E14" s="5"/>
      <c r="G14" s="12" t="s">
        <v>32</v>
      </c>
    </row>
    <row r="15" spans="3:8" x14ac:dyDescent="0.35">
      <c r="C15" s="11" t="s">
        <v>33</v>
      </c>
      <c r="D15" s="5">
        <f>IF(INDEX(Datos!$B$2:$B$17,MATCH($D$8,Datos!$A$2:$A$17,0))="","-",INDEX(Datos!$B$2:$B$17,MATCH($D$8,Datos!$A$2:$A$17,0)))</f>
        <v>15</v>
      </c>
      <c r="E15" s="5"/>
    </row>
    <row r="16" spans="3:8" ht="7.5" customHeight="1" x14ac:dyDescent="0.35"/>
    <row r="17" spans="3:7" x14ac:dyDescent="0.35">
      <c r="C17" s="8" t="s">
        <v>34</v>
      </c>
      <c r="D17" s="8"/>
      <c r="E17" s="8"/>
    </row>
    <row r="18" spans="3:7" x14ac:dyDescent="0.35">
      <c r="C18" s="25"/>
      <c r="D18" s="26" t="s">
        <v>35</v>
      </c>
      <c r="E18" s="26" t="s">
        <v>36</v>
      </c>
    </row>
    <row r="19" spans="3:7" x14ac:dyDescent="0.35">
      <c r="C19" s="11" t="s">
        <v>37</v>
      </c>
      <c r="D19" s="18">
        <f>D11</f>
        <v>15</v>
      </c>
      <c r="E19" s="18">
        <f>IF($D$14="","-",$D$14)</f>
        <v>13.5</v>
      </c>
    </row>
    <row r="20" spans="3:7" x14ac:dyDescent="0.35">
      <c r="C20" s="11" t="s">
        <v>38</v>
      </c>
      <c r="D20" s="27">
        <f>($D$10-$D$11)/(100-$D$11)*100</f>
        <v>3.5294117647058822</v>
      </c>
      <c r="E20" s="27">
        <f>IF($D$14="","Revisar",($D$10-$D$14)/(100-$D$14)*100)</f>
        <v>5.202312138728324</v>
      </c>
    </row>
    <row r="21" spans="3:7" x14ac:dyDescent="0.35">
      <c r="C21" s="11" t="s">
        <v>39</v>
      </c>
      <c r="D21" s="17">
        <f>$D$9*1000*D20/100</f>
        <v>3529.4117647058824</v>
      </c>
      <c r="E21" s="17">
        <f>IF($D$14="","Revisar",$D$9*1000*E20/100)</f>
        <v>5202.3121387283245</v>
      </c>
    </row>
    <row r="22" spans="3:7" x14ac:dyDescent="0.35">
      <c r="C22" s="11" t="s">
        <v>12</v>
      </c>
      <c r="D22" s="16">
        <f>$D$32/(1-$D$11/100)</f>
        <v>96.470588235294116</v>
      </c>
      <c r="E22" s="16">
        <f>IF($D$14="","Revisar",$D$32/(1-$D$14/100))</f>
        <v>94.797687861271683</v>
      </c>
    </row>
    <row r="23" spans="3:7" x14ac:dyDescent="0.35">
      <c r="C23" s="11" t="s">
        <v>40</v>
      </c>
      <c r="D23" s="3">
        <f>IF($D$14="","Revisar",E21-D21)</f>
        <v>1672.9003740224421</v>
      </c>
      <c r="E23" s="3"/>
    </row>
    <row r="24" spans="3:7" x14ac:dyDescent="0.35">
      <c r="C24" s="11" t="s">
        <v>41</v>
      </c>
      <c r="D24" s="4">
        <f>IF($D$14="","Revisar",E20-D20)</f>
        <v>1.6729003740224417</v>
      </c>
      <c r="E24" s="4"/>
    </row>
    <row r="25" spans="3:7" ht="40" customHeight="1" x14ac:dyDescent="0.35">
      <c r="C25" s="2" t="str">
        <f>IF($D$14="","No hay Hf normativo verificado para este grano — revisá la norma vigente.",IF(D23&gt;0,"Si sos acopiador (comprador) el mercado te reconoce "&amp;TEXT(D23,"0.0")&amp;" kg más que tu merma física real (a tu favor). Si sos productor (vendedor) es al revés, tenes un descuento EXTRA.",IF(D23&lt;0,"El mercado te reconoce "&amp;TEXT(ABS(D23),"0.0")&amp;" kg menos que tu merma física real (en tu contra).","La merma física coincide con la comercial.")))</f>
        <v>Si sos acopiador (comprador) el mercado te reconoce 1.673 kg más que tu merma física real (a tu favor). Si sos productor (vendedor) es al revés, tenes un descuento EXTRA.</v>
      </c>
      <c r="D25" s="2"/>
      <c r="E25" s="2"/>
    </row>
    <row r="26" spans="3:7" ht="7.5" customHeight="1" x14ac:dyDescent="0.35"/>
    <row r="27" spans="3:7" x14ac:dyDescent="0.35">
      <c r="C27" s="8" t="s">
        <v>42</v>
      </c>
      <c r="D27" s="8"/>
      <c r="E27" s="8"/>
    </row>
    <row r="28" spans="3:7" x14ac:dyDescent="0.35">
      <c r="C28" s="11" t="s">
        <v>43</v>
      </c>
      <c r="D28" s="44">
        <v>8</v>
      </c>
      <c r="E28" s="44"/>
      <c r="G28" s="12" t="s">
        <v>98</v>
      </c>
    </row>
    <row r="29" spans="3:7" x14ac:dyDescent="0.35">
      <c r="C29" s="11" t="s">
        <v>44</v>
      </c>
      <c r="D29" s="1">
        <f>(D10-D15)*D9*D28</f>
        <v>2400</v>
      </c>
      <c r="E29" s="1"/>
    </row>
    <row r="30" spans="3:7" ht="7.5" customHeight="1" x14ac:dyDescent="0.35"/>
    <row r="31" spans="3:7" x14ac:dyDescent="0.35">
      <c r="C31" s="6" t="s">
        <v>20</v>
      </c>
      <c r="D31" s="6"/>
      <c r="E31" s="6"/>
    </row>
    <row r="32" spans="3:7" x14ac:dyDescent="0.35">
      <c r="C32" s="19" t="s">
        <v>45</v>
      </c>
      <c r="D32" s="34">
        <f>D9*(1-D10/100)</f>
        <v>82</v>
      </c>
      <c r="E32" s="34"/>
    </row>
    <row r="34" spans="3:3" x14ac:dyDescent="0.35">
      <c r="C34" s="21" t="s">
        <v>22</v>
      </c>
    </row>
    <row r="35" spans="3:3" x14ac:dyDescent="0.35">
      <c r="C35" s="22" t="s">
        <v>23</v>
      </c>
    </row>
    <row r="36" spans="3:3" x14ac:dyDescent="0.35">
      <c r="C36" s="23" t="s">
        <v>24</v>
      </c>
    </row>
    <row r="37" spans="3:3" x14ac:dyDescent="0.35">
      <c r="C37" s="24" t="s">
        <v>25</v>
      </c>
    </row>
  </sheetData>
  <sheetProtection sheet="1" objects="1" scenarios="1"/>
  <mergeCells count="19">
    <mergeCell ref="C27:E27"/>
    <mergeCell ref="D28:E28"/>
    <mergeCell ref="D29:E29"/>
    <mergeCell ref="C31:E31"/>
    <mergeCell ref="D32:E32"/>
    <mergeCell ref="C17:E17"/>
    <mergeCell ref="D23:E23"/>
    <mergeCell ref="D24:E24"/>
    <mergeCell ref="C25:E25"/>
    <mergeCell ref="D10:E10"/>
    <mergeCell ref="D11:E11"/>
    <mergeCell ref="C13:E13"/>
    <mergeCell ref="D14:E14"/>
    <mergeCell ref="D15:E15"/>
    <mergeCell ref="C4:G4"/>
    <mergeCell ref="C5:G5"/>
    <mergeCell ref="C7:E7"/>
    <mergeCell ref="D8:E8"/>
    <mergeCell ref="D9:E9"/>
  </mergeCells>
  <pageMargins left="0.75" right="0.75" top="1" bottom="1" header="0.511811023622047" footer="0.511811023622047"/>
  <pageSetup paperSize="9" orientation="portrait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100-000000000000}">
          <x14:formula1>
            <xm:f>Datos!$A$2:$A$17</xm:f>
          </x14:formula1>
          <x14:formula2>
            <xm:f>0</xm:f>
          </x14:formula2>
          <xm:sqref>D8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E7D6B"/>
  </sheetPr>
  <dimension ref="C1:G33"/>
  <sheetViews>
    <sheetView showGridLines="0" zoomScaleNormal="100" workbookViewId="0">
      <selection activeCell="I8" sqref="I8"/>
    </sheetView>
  </sheetViews>
  <sheetFormatPr baseColWidth="10" defaultColWidth="8.6328125" defaultRowHeight="14.5" x14ac:dyDescent="0.35"/>
  <cols>
    <col min="1" max="2" width="2.453125" customWidth="1"/>
    <col min="3" max="3" width="44" customWidth="1"/>
    <col min="4" max="4" width="16" customWidth="1"/>
    <col min="5" max="5" width="3" customWidth="1"/>
    <col min="6" max="6" width="46" customWidth="1"/>
    <col min="7" max="7" width="11.26953125" customWidth="1"/>
  </cols>
  <sheetData>
    <row r="1" spans="3:7" ht="7.5" customHeight="1" x14ac:dyDescent="0.35"/>
    <row r="2" spans="3:7" ht="45.75" customHeight="1" x14ac:dyDescent="0.35">
      <c r="D2" s="49" t="str">
        <f>Calculador!D2</f>
        <v>Fecha: 23/9/2026</v>
      </c>
      <c r="E2" s="49"/>
      <c r="F2" s="49" t="str">
        <f>Calculador!F2</f>
        <v>Autor: Ricardo Bartosik</v>
      </c>
      <c r="G2" s="49" t="str">
        <f>Calculador!H2</f>
        <v>Versión: 1.0</v>
      </c>
    </row>
    <row r="3" spans="3:7" ht="6" customHeight="1" x14ac:dyDescent="0.35"/>
    <row r="4" spans="3:7" ht="30" customHeight="1" x14ac:dyDescent="0.35">
      <c r="C4" s="35" t="s">
        <v>46</v>
      </c>
      <c r="D4" s="35"/>
      <c r="E4" s="35"/>
      <c r="F4" s="35"/>
    </row>
    <row r="5" spans="3:7" ht="19.5" customHeight="1" x14ac:dyDescent="0.35">
      <c r="C5" s="9" t="s">
        <v>0</v>
      </c>
      <c r="D5" s="9"/>
      <c r="E5" s="9"/>
      <c r="F5" s="9"/>
    </row>
    <row r="6" spans="3:7" ht="9.75" customHeight="1" x14ac:dyDescent="0.35"/>
    <row r="7" spans="3:7" x14ac:dyDescent="0.35">
      <c r="C7" s="8" t="s">
        <v>1</v>
      </c>
      <c r="D7" s="8"/>
    </row>
    <row r="8" spans="3:7" x14ac:dyDescent="0.35">
      <c r="C8" s="11" t="s">
        <v>3</v>
      </c>
      <c r="D8" s="37" t="s">
        <v>82</v>
      </c>
      <c r="F8" s="12" t="s">
        <v>5</v>
      </c>
    </row>
    <row r="9" spans="3:7" x14ac:dyDescent="0.35">
      <c r="C9" s="11" t="s">
        <v>8</v>
      </c>
      <c r="D9" s="38">
        <v>40000</v>
      </c>
    </row>
    <row r="10" spans="3:7" x14ac:dyDescent="0.35">
      <c r="C10" s="11" t="s">
        <v>47</v>
      </c>
      <c r="D10" s="39">
        <v>15</v>
      </c>
    </row>
    <row r="11" spans="3:7" ht="22" x14ac:dyDescent="0.35">
      <c r="C11" s="11" t="s">
        <v>48</v>
      </c>
      <c r="D11" s="39">
        <v>12.5</v>
      </c>
      <c r="F11" s="12" t="s">
        <v>49</v>
      </c>
    </row>
    <row r="12" spans="3:7" x14ac:dyDescent="0.35">
      <c r="C12" s="11" t="s">
        <v>50</v>
      </c>
      <c r="D12" s="40">
        <v>350</v>
      </c>
      <c r="F12" s="12"/>
    </row>
    <row r="13" spans="3:7" ht="7.5" customHeight="1" x14ac:dyDescent="0.35"/>
    <row r="14" spans="3:7" x14ac:dyDescent="0.35">
      <c r="C14" s="8" t="s">
        <v>51</v>
      </c>
      <c r="D14" s="8"/>
    </row>
    <row r="15" spans="3:7" x14ac:dyDescent="0.35">
      <c r="C15" s="11" t="s">
        <v>52</v>
      </c>
      <c r="D15" s="18">
        <f>IF(INDEX(Datos!$B$2:$B$17,MATCH($D$8,Datos!$A$2:$A$17,0))="",IF(INDEX(Datos!$C$2:$C$17,MATCH($D$8,Datos!$A$2:$A$17,0))="","Revisar",INDEX(Datos!$C$2:$C$17,MATCH($D$8,Datos!$A$2:$A$17,0))),INDEX(Datos!$B$2:$B$17,MATCH($D$8,Datos!$A$2:$A$17,0)))</f>
        <v>14</v>
      </c>
      <c r="F15" s="12"/>
    </row>
    <row r="16" spans="3:7" ht="7.5" customHeight="1" x14ac:dyDescent="0.35"/>
    <row r="17" spans="3:6" x14ac:dyDescent="0.35">
      <c r="C17" s="8" t="s">
        <v>11</v>
      </c>
      <c r="D17" s="8"/>
    </row>
    <row r="18" spans="3:6" x14ac:dyDescent="0.35">
      <c r="C18" s="11" t="s">
        <v>53</v>
      </c>
      <c r="D18" s="27">
        <f>($D$10-$D$11)/(100-$D$11)*100</f>
        <v>2.8571428571428572</v>
      </c>
    </row>
    <row r="19" spans="3:6" x14ac:dyDescent="0.35">
      <c r="C19" s="11" t="s">
        <v>54</v>
      </c>
      <c r="D19" s="17">
        <f>$D$9*1000*D18/100</f>
        <v>1142857.1428571427</v>
      </c>
    </row>
    <row r="20" spans="3:6" x14ac:dyDescent="0.35">
      <c r="C20" s="11" t="s">
        <v>12</v>
      </c>
      <c r="D20" s="16">
        <f>$D$28/(1-$D$11/100)</f>
        <v>38857.142857142855</v>
      </c>
    </row>
    <row r="21" spans="3:6" ht="7.5" customHeight="1" x14ac:dyDescent="0.35"/>
    <row r="22" spans="3:6" x14ac:dyDescent="0.35">
      <c r="C22" s="8" t="s">
        <v>55</v>
      </c>
      <c r="D22" s="8"/>
    </row>
    <row r="23" spans="3:6" ht="22" x14ac:dyDescent="0.35">
      <c r="C23" s="11" t="s">
        <v>56</v>
      </c>
      <c r="D23" s="16">
        <f>IF($D$12=0,"-",D19/1000*$D$12)</f>
        <v>399999.99999999994</v>
      </c>
      <c r="F23" s="12" t="s">
        <v>57</v>
      </c>
    </row>
    <row r="24" spans="3:6" ht="22" x14ac:dyDescent="0.35">
      <c r="C24" s="11" t="s">
        <v>58</v>
      </c>
      <c r="D24" s="27">
        <f>IF($D$15="Revisar","Revisar",MAX($D$15-$D$11,0))</f>
        <v>1.5</v>
      </c>
      <c r="F24" s="12" t="s">
        <v>59</v>
      </c>
    </row>
    <row r="25" spans="3:6" ht="30" customHeight="1" x14ac:dyDescent="0.35">
      <c r="C25" s="11" t="s">
        <v>60</v>
      </c>
      <c r="D25" s="16">
        <f>IF(OR($D$15="Revisar",$D$12=0),"-",MAX($D$28/(1-$D$15/100)-$D$20,0)*$D$12)</f>
        <v>237209.30232558347</v>
      </c>
      <c r="F25" s="12" t="s">
        <v>61</v>
      </c>
    </row>
    <row r="26" spans="3:6" ht="7.5" customHeight="1" x14ac:dyDescent="0.35"/>
    <row r="27" spans="3:6" x14ac:dyDescent="0.35">
      <c r="C27" s="6" t="s">
        <v>20</v>
      </c>
      <c r="D27" s="6"/>
    </row>
    <row r="28" spans="3:6" x14ac:dyDescent="0.35">
      <c r="C28" s="19" t="s">
        <v>45</v>
      </c>
      <c r="D28" s="20">
        <f>D9*(1-D10/100)</f>
        <v>34000</v>
      </c>
    </row>
    <row r="30" spans="3:6" x14ac:dyDescent="0.35">
      <c r="C30" s="21" t="s">
        <v>22</v>
      </c>
    </row>
    <row r="31" spans="3:6" x14ac:dyDescent="0.35">
      <c r="C31" s="22" t="s">
        <v>23</v>
      </c>
    </row>
    <row r="32" spans="3:6" x14ac:dyDescent="0.35">
      <c r="C32" s="23" t="s">
        <v>24</v>
      </c>
    </row>
    <row r="33" spans="3:3" x14ac:dyDescent="0.35">
      <c r="C33" s="24" t="s">
        <v>25</v>
      </c>
    </row>
  </sheetData>
  <sheetProtection sheet="1" objects="1" scenarios="1"/>
  <mergeCells count="7">
    <mergeCell ref="C22:D22"/>
    <mergeCell ref="C27:D27"/>
    <mergeCell ref="C4:F4"/>
    <mergeCell ref="C5:F5"/>
    <mergeCell ref="C7:D7"/>
    <mergeCell ref="C14:D14"/>
    <mergeCell ref="C17:D17"/>
  </mergeCells>
  <pageMargins left="0.75" right="0.75" top="1" bottom="1" header="0.511811023622047" footer="0.511811023622047"/>
  <pageSetup paperSize="9" orientation="portrait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200-000000000000}">
          <x14:formula1>
            <xm:f>Datos!$A$2:$A$17</xm:f>
          </x14:formula1>
          <x14:formula2>
            <xm:f>0</xm:f>
          </x14:formula2>
          <xm:sqref>D8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8C8C8C"/>
  </sheetPr>
  <dimension ref="A1:E22"/>
  <sheetViews>
    <sheetView showGridLines="0" zoomScaleNormal="100" workbookViewId="0">
      <selection activeCell="E11" sqref="E11"/>
    </sheetView>
  </sheetViews>
  <sheetFormatPr baseColWidth="10" defaultColWidth="8.6328125" defaultRowHeight="14.5" x14ac:dyDescent="0.35"/>
  <cols>
    <col min="1" max="1" width="22" customWidth="1"/>
    <col min="2" max="2" width="16" customWidth="1"/>
    <col min="3" max="4" width="14" customWidth="1"/>
    <col min="5" max="5" width="34" customWidth="1"/>
  </cols>
  <sheetData>
    <row r="1" spans="1:5" ht="30" customHeight="1" x14ac:dyDescent="0.35">
      <c r="A1" s="28" t="s">
        <v>62</v>
      </c>
      <c r="B1" s="28" t="s">
        <v>63</v>
      </c>
      <c r="C1" s="28" t="s">
        <v>64</v>
      </c>
      <c r="D1" s="28" t="s">
        <v>65</v>
      </c>
      <c r="E1" s="28" t="s">
        <v>66</v>
      </c>
    </row>
    <row r="2" spans="1:5" x14ac:dyDescent="0.35">
      <c r="A2" s="29" t="s">
        <v>4</v>
      </c>
      <c r="B2" s="14">
        <v>14</v>
      </c>
      <c r="C2" s="14">
        <v>14</v>
      </c>
      <c r="D2" s="14">
        <v>13.5</v>
      </c>
      <c r="E2" s="30" t="s">
        <v>67</v>
      </c>
    </row>
    <row r="3" spans="1:5" x14ac:dyDescent="0.35">
      <c r="A3" s="31" t="s">
        <v>68</v>
      </c>
      <c r="B3" s="32">
        <v>14.5</v>
      </c>
      <c r="C3" s="32">
        <v>14.5</v>
      </c>
      <c r="D3" s="32">
        <v>13.5</v>
      </c>
      <c r="E3" s="33" t="s">
        <v>69</v>
      </c>
    </row>
    <row r="4" spans="1:5" x14ac:dyDescent="0.35">
      <c r="A4" s="29" t="s">
        <v>70</v>
      </c>
      <c r="B4" s="14">
        <v>13.5</v>
      </c>
      <c r="C4" s="14">
        <v>13.5</v>
      </c>
      <c r="D4" s="14">
        <v>13</v>
      </c>
      <c r="E4" s="30" t="s">
        <v>71</v>
      </c>
    </row>
    <row r="5" spans="1:5" x14ac:dyDescent="0.35">
      <c r="A5" s="31" t="s">
        <v>72</v>
      </c>
      <c r="B5" s="32">
        <v>11</v>
      </c>
      <c r="C5" s="32">
        <v>14</v>
      </c>
      <c r="D5" s="32">
        <v>10.5</v>
      </c>
      <c r="E5" s="33" t="s">
        <v>73</v>
      </c>
    </row>
    <row r="6" spans="1:5" x14ac:dyDescent="0.35">
      <c r="A6" s="29" t="s">
        <v>74</v>
      </c>
      <c r="B6" s="14">
        <v>12</v>
      </c>
      <c r="C6" s="14">
        <v>12.5</v>
      </c>
      <c r="D6" s="14">
        <v>12</v>
      </c>
      <c r="E6" s="30" t="s">
        <v>75</v>
      </c>
    </row>
    <row r="7" spans="1:5" x14ac:dyDescent="0.35">
      <c r="A7" s="31" t="s">
        <v>76</v>
      </c>
      <c r="B7" s="32">
        <v>14</v>
      </c>
      <c r="C7" s="32">
        <v>14</v>
      </c>
      <c r="D7" s="32">
        <v>13.5</v>
      </c>
      <c r="E7" s="33" t="s">
        <v>77</v>
      </c>
    </row>
    <row r="8" spans="1:5" x14ac:dyDescent="0.35">
      <c r="A8" s="29" t="s">
        <v>78</v>
      </c>
      <c r="B8" s="14">
        <v>15</v>
      </c>
      <c r="C8" s="14">
        <v>15</v>
      </c>
      <c r="D8" s="14">
        <v>13.5</v>
      </c>
      <c r="E8" s="30" t="s">
        <v>79</v>
      </c>
    </row>
    <row r="9" spans="1:5" x14ac:dyDescent="0.35">
      <c r="A9" s="31" t="s">
        <v>80</v>
      </c>
      <c r="B9" s="32">
        <v>14</v>
      </c>
      <c r="C9" s="32">
        <v>14</v>
      </c>
      <c r="D9" s="32">
        <v>13.5</v>
      </c>
      <c r="E9" s="33" t="s">
        <v>81</v>
      </c>
    </row>
    <row r="10" spans="1:5" x14ac:dyDescent="0.35">
      <c r="A10" s="29" t="s">
        <v>82</v>
      </c>
      <c r="B10" s="14">
        <v>14</v>
      </c>
      <c r="C10" s="14">
        <v>14</v>
      </c>
      <c r="D10" s="14">
        <v>13.5</v>
      </c>
      <c r="E10" s="45" t="s">
        <v>99</v>
      </c>
    </row>
    <row r="11" spans="1:5" x14ac:dyDescent="0.35">
      <c r="A11" s="31" t="s">
        <v>83</v>
      </c>
      <c r="B11" s="32">
        <v>14</v>
      </c>
      <c r="C11" s="32">
        <v>14</v>
      </c>
      <c r="D11" s="32">
        <v>13.5</v>
      </c>
      <c r="E11" s="33" t="s">
        <v>84</v>
      </c>
    </row>
    <row r="12" spans="1:5" x14ac:dyDescent="0.35">
      <c r="A12" s="29" t="s">
        <v>85</v>
      </c>
      <c r="B12" s="14">
        <v>15</v>
      </c>
      <c r="C12" s="14">
        <v>15</v>
      </c>
      <c r="D12" s="14">
        <v>14.5</v>
      </c>
      <c r="E12" s="30" t="s">
        <v>86</v>
      </c>
    </row>
    <row r="13" spans="1:5" x14ac:dyDescent="0.35">
      <c r="A13" s="31" t="s">
        <v>87</v>
      </c>
      <c r="B13" s="32">
        <v>10</v>
      </c>
      <c r="C13" s="32">
        <v>13</v>
      </c>
      <c r="D13" s="32">
        <v>9.5</v>
      </c>
      <c r="E13" s="33" t="s">
        <v>88</v>
      </c>
    </row>
    <row r="14" spans="1:5" x14ac:dyDescent="0.35">
      <c r="A14" s="29" t="s">
        <v>89</v>
      </c>
      <c r="B14" s="14">
        <v>10</v>
      </c>
      <c r="C14" s="14">
        <v>10</v>
      </c>
      <c r="D14" s="14">
        <v>9.5</v>
      </c>
      <c r="E14" s="30" t="s">
        <v>90</v>
      </c>
    </row>
    <row r="15" spans="1:5" x14ac:dyDescent="0.35">
      <c r="A15" s="31" t="s">
        <v>91</v>
      </c>
      <c r="B15" s="32">
        <v>8</v>
      </c>
      <c r="C15" s="32">
        <v>10</v>
      </c>
      <c r="D15" s="32">
        <v>7.5</v>
      </c>
      <c r="E15" s="33" t="s">
        <v>92</v>
      </c>
    </row>
    <row r="16" spans="1:5" x14ac:dyDescent="0.35">
      <c r="A16" s="29" t="s">
        <v>93</v>
      </c>
      <c r="B16" s="14">
        <v>9</v>
      </c>
      <c r="C16" s="14">
        <v>10</v>
      </c>
      <c r="D16" s="14">
        <v>8.5</v>
      </c>
      <c r="E16" s="30" t="s">
        <v>94</v>
      </c>
    </row>
    <row r="17" spans="1:5" ht="22" x14ac:dyDescent="0.35">
      <c r="A17" s="31" t="s">
        <v>95</v>
      </c>
      <c r="B17" s="32">
        <v>15</v>
      </c>
      <c r="C17" s="32">
        <v>15</v>
      </c>
      <c r="D17" s="32"/>
      <c r="E17" s="33" t="s">
        <v>96</v>
      </c>
    </row>
    <row r="19" spans="1:5" ht="15" customHeight="1" x14ac:dyDescent="0.35">
      <c r="A19" s="36" t="s">
        <v>97</v>
      </c>
      <c r="B19" s="36"/>
      <c r="C19" s="36"/>
      <c r="D19" s="36"/>
      <c r="E19" s="36"/>
    </row>
    <row r="20" spans="1:5" x14ac:dyDescent="0.35">
      <c r="A20" s="36"/>
      <c r="B20" s="36"/>
      <c r="C20" s="36"/>
      <c r="D20" s="36"/>
      <c r="E20" s="36"/>
    </row>
    <row r="21" spans="1:5" x14ac:dyDescent="0.35">
      <c r="A21" s="36"/>
      <c r="B21" s="36"/>
      <c r="C21" s="36"/>
      <c r="D21" s="36"/>
      <c r="E21" s="36"/>
    </row>
    <row r="22" spans="1:5" x14ac:dyDescent="0.35">
      <c r="A22" s="36"/>
      <c r="B22" s="36"/>
      <c r="C22" s="36"/>
      <c r="D22" s="36"/>
      <c r="E22" s="36"/>
    </row>
  </sheetData>
  <sheetProtection sheet="1" objects="1" scenarios="1"/>
  <mergeCells count="1">
    <mergeCell ref="A19:E2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Calculador</vt:lpstr>
      <vt:lpstr>Física vs. Comercial</vt:lpstr>
      <vt:lpstr>Aireación-Almacenamiento</vt:lpstr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Ricardo Bartosik</cp:lastModifiedBy>
  <cp:revision>1</cp:revision>
  <dcterms:created xsi:type="dcterms:W3CDTF">2026-09-23T12:14:00Z</dcterms:created>
  <dcterms:modified xsi:type="dcterms:W3CDTF">2026-09-24T19:40:58Z</dcterms:modified>
  <dc:language>en-US</dc:language>
</cp:coreProperties>
</file>